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208"/>
  <workbookPr defaultThemeVersion="166925"/>
  <mc:AlternateContent xmlns:mc="http://schemas.openxmlformats.org/markup-compatibility/2006">
    <mc:Choice Requires="x15">
      <x15ac:absPath xmlns:x15ac="http://schemas.microsoft.com/office/spreadsheetml/2010/11/ac" url="/Users/steph/Desktop/"/>
    </mc:Choice>
  </mc:AlternateContent>
  <xr:revisionPtr revIDLastSave="0" documentId="8_{92803CE3-5F5F-FC4C-879B-C3F70A36B8FB}" xr6:coauthVersionLast="45" xr6:coauthVersionMax="45" xr10:uidLastSave="{00000000-0000-0000-0000-000000000000}"/>
  <bookViews>
    <workbookView xWindow="1180" yWindow="1460" windowWidth="27240" windowHeight="15060" xr2:uid="{FD5F2F1C-67D5-C94E-B356-4DAFCE34FB84}"/>
  </bookViews>
  <sheets>
    <sheet name="Adjusters" sheetId="1" r:id="rId1"/>
  </sheets>
  <externalReferences>
    <externalReference r:id="rId2"/>
  </externalReferences>
  <definedNames>
    <definedName name="_xlnm._FilterDatabase" localSheetId="0" hidden="1">Adjusters!$A$1:$M$2462</definedName>
    <definedName name="_UUID_" hidden="1">847165</definedName>
    <definedName name="AdjIssuer">'[1]Adjustment %'!$D:$D</definedName>
    <definedName name="AdjPercent">'[1]Adjustment %'!$F:$F</definedName>
    <definedName name="AdjSect">'[1]Adjustment %'!$E:$E</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2462" i="1" l="1"/>
  <c r="K2461" i="1"/>
  <c r="K2460" i="1"/>
  <c r="K2459" i="1"/>
  <c r="K2458" i="1"/>
  <c r="K2457" i="1"/>
  <c r="K2456" i="1"/>
  <c r="K2455" i="1"/>
  <c r="K2454" i="1"/>
  <c r="K2453" i="1"/>
  <c r="K2452" i="1"/>
  <c r="K2451" i="1"/>
  <c r="K2450" i="1"/>
  <c r="K2449" i="1"/>
  <c r="K2448" i="1"/>
  <c r="K2447" i="1"/>
  <c r="K2446" i="1"/>
  <c r="H2445" i="1"/>
  <c r="E2445" i="1"/>
  <c r="K2445" i="1" s="1"/>
  <c r="H2444" i="1"/>
  <c r="E2444" i="1"/>
  <c r="K2444" i="1" s="1"/>
  <c r="H2443" i="1"/>
  <c r="E2443" i="1"/>
  <c r="H2442" i="1"/>
  <c r="E2442" i="1"/>
  <c r="K2442" i="1" s="1"/>
  <c r="K2441" i="1"/>
  <c r="H2441" i="1"/>
  <c r="E2441" i="1"/>
  <c r="K2440" i="1"/>
  <c r="H2440" i="1"/>
  <c r="E2440" i="1"/>
  <c r="H2439" i="1"/>
  <c r="E2439" i="1"/>
  <c r="K2438" i="1"/>
  <c r="K2437" i="1"/>
  <c r="K2436" i="1"/>
  <c r="K2435" i="1"/>
  <c r="E2435" i="1"/>
  <c r="E2434" i="1"/>
  <c r="K2434" i="1" s="1"/>
  <c r="K2433" i="1"/>
  <c r="E2433" i="1"/>
  <c r="E2432" i="1"/>
  <c r="K2432" i="1" s="1"/>
  <c r="K2431" i="1"/>
  <c r="E2431" i="1"/>
  <c r="E2430" i="1"/>
  <c r="K2430" i="1" s="1"/>
  <c r="K2429" i="1"/>
  <c r="E2429" i="1"/>
  <c r="E2428" i="1"/>
  <c r="K2428" i="1" s="1"/>
  <c r="K2427" i="1"/>
  <c r="E2427" i="1"/>
  <c r="E2426" i="1"/>
  <c r="K2426" i="1" s="1"/>
  <c r="K2425" i="1"/>
  <c r="E2425" i="1"/>
  <c r="E2424" i="1"/>
  <c r="K2424" i="1" s="1"/>
  <c r="K2423" i="1"/>
  <c r="E2423" i="1"/>
  <c r="E2422" i="1"/>
  <c r="K2422" i="1" s="1"/>
  <c r="K2421" i="1"/>
  <c r="E2421" i="1"/>
  <c r="E2420" i="1"/>
  <c r="K2420" i="1" s="1"/>
  <c r="K2419" i="1"/>
  <c r="E2419" i="1"/>
  <c r="E2418" i="1"/>
  <c r="K2418" i="1" s="1"/>
  <c r="K2417" i="1"/>
  <c r="E2417" i="1"/>
  <c r="E2416" i="1"/>
  <c r="K2416" i="1" s="1"/>
  <c r="K2415" i="1"/>
  <c r="E2415" i="1"/>
  <c r="E2414" i="1"/>
  <c r="K2414" i="1" s="1"/>
  <c r="K2413" i="1"/>
  <c r="E2413" i="1"/>
  <c r="E2412" i="1"/>
  <c r="K2412" i="1" s="1"/>
  <c r="K2411" i="1"/>
  <c r="E2411" i="1"/>
  <c r="E2410" i="1"/>
  <c r="K2410" i="1" s="1"/>
  <c r="K2409" i="1"/>
  <c r="E2409" i="1"/>
  <c r="E2408" i="1"/>
  <c r="K2408" i="1" s="1"/>
  <c r="K2407" i="1"/>
  <c r="E2407" i="1"/>
  <c r="E2406" i="1"/>
  <c r="K2406" i="1" s="1"/>
  <c r="K2405" i="1"/>
  <c r="E2405" i="1"/>
  <c r="E2404" i="1"/>
  <c r="K2404" i="1" s="1"/>
  <c r="K2403" i="1"/>
  <c r="E2403" i="1"/>
  <c r="E2402" i="1"/>
  <c r="K2402" i="1" s="1"/>
  <c r="K2401" i="1"/>
  <c r="E2401" i="1"/>
  <c r="K2400" i="1"/>
  <c r="K2399" i="1"/>
  <c r="K2398" i="1"/>
  <c r="K2397" i="1"/>
  <c r="K2396" i="1"/>
  <c r="K2395" i="1"/>
  <c r="E2395" i="1"/>
  <c r="K2394" i="1"/>
  <c r="K2393" i="1"/>
  <c r="K2392" i="1"/>
  <c r="K2391" i="1"/>
  <c r="K2390" i="1"/>
  <c r="H2389" i="1"/>
  <c r="G2389" i="1"/>
  <c r="K2388" i="1"/>
  <c r="K2387" i="1"/>
  <c r="K2386" i="1"/>
  <c r="K2385" i="1"/>
  <c r="K2384" i="1"/>
  <c r="K2383" i="1"/>
  <c r="K2382" i="1"/>
  <c r="K2381" i="1"/>
  <c r="K2380" i="1"/>
  <c r="K2379" i="1"/>
  <c r="K2378" i="1"/>
  <c r="K2377" i="1"/>
  <c r="K2376" i="1"/>
  <c r="K2375" i="1"/>
  <c r="K2374" i="1"/>
  <c r="K2373" i="1"/>
  <c r="K2372" i="1"/>
  <c r="K2371" i="1"/>
  <c r="K2370" i="1"/>
  <c r="K2369" i="1"/>
  <c r="K2368" i="1"/>
  <c r="K2367" i="1"/>
  <c r="K2366" i="1"/>
  <c r="K2365" i="1"/>
  <c r="K2364" i="1"/>
  <c r="K2363" i="1"/>
  <c r="K2362" i="1"/>
  <c r="K2361" i="1"/>
  <c r="E2360" i="1"/>
  <c r="K2360" i="1" s="1"/>
  <c r="K2359" i="1"/>
  <c r="E2359" i="1"/>
  <c r="E2358" i="1"/>
  <c r="K2358" i="1" s="1"/>
  <c r="K2357" i="1"/>
  <c r="E2357" i="1"/>
  <c r="E2356" i="1"/>
  <c r="K2356" i="1" s="1"/>
  <c r="K2355" i="1"/>
  <c r="E2355" i="1"/>
  <c r="E2354" i="1"/>
  <c r="K2354" i="1" s="1"/>
  <c r="K2353" i="1"/>
  <c r="K2352" i="1"/>
  <c r="K2351" i="1"/>
  <c r="K2350" i="1"/>
  <c r="K2349" i="1"/>
  <c r="K2348" i="1"/>
  <c r="K2347" i="1"/>
  <c r="K2346" i="1"/>
  <c r="K2345" i="1"/>
  <c r="E2345" i="1"/>
  <c r="E2344" i="1"/>
  <c r="K2344" i="1" s="1"/>
  <c r="K2343" i="1"/>
  <c r="E2343" i="1"/>
  <c r="E2342" i="1"/>
  <c r="K2342" i="1" s="1"/>
  <c r="K2341" i="1"/>
  <c r="E2341" i="1"/>
  <c r="E2340" i="1"/>
  <c r="K2340" i="1" s="1"/>
  <c r="K2339" i="1"/>
  <c r="E2339" i="1"/>
  <c r="E2338" i="1"/>
  <c r="K2338" i="1" s="1"/>
  <c r="K2337" i="1"/>
  <c r="H2337" i="1"/>
  <c r="E2337" i="1"/>
  <c r="E2336" i="1"/>
  <c r="K2336" i="1" s="1"/>
  <c r="K2335" i="1"/>
  <c r="E2335" i="1"/>
  <c r="H2334" i="1"/>
  <c r="E2334" i="1"/>
  <c r="H2333" i="1"/>
  <c r="E2333" i="1"/>
  <c r="K2333" i="1" s="1"/>
  <c r="K2332" i="1"/>
  <c r="E2332" i="1"/>
  <c r="H2331" i="1"/>
  <c r="E2331" i="1"/>
  <c r="H2330" i="1"/>
  <c r="E2330" i="1"/>
  <c r="K2330" i="1" s="1"/>
  <c r="K2329" i="1"/>
  <c r="H2329" i="1"/>
  <c r="E2329" i="1"/>
  <c r="K2328" i="1"/>
  <c r="H2328" i="1"/>
  <c r="E2328" i="1"/>
  <c r="H2327" i="1"/>
  <c r="E2327" i="1"/>
  <c r="H2326" i="1"/>
  <c r="E2326" i="1"/>
  <c r="K2326" i="1" s="1"/>
  <c r="K2325" i="1"/>
  <c r="H2325" i="1"/>
  <c r="E2325" i="1"/>
  <c r="K2324" i="1"/>
  <c r="E2324" i="1"/>
  <c r="H2323" i="1"/>
  <c r="E2323" i="1"/>
  <c r="K2323" i="1" s="1"/>
  <c r="K2322" i="1"/>
  <c r="H2322" i="1"/>
  <c r="E2322" i="1"/>
  <c r="K2321" i="1"/>
  <c r="H2321" i="1"/>
  <c r="E2321" i="1"/>
  <c r="H2320" i="1"/>
  <c r="E2320" i="1"/>
  <c r="K2320" i="1" s="1"/>
  <c r="H2319" i="1"/>
  <c r="E2319" i="1"/>
  <c r="K2319" i="1" s="1"/>
  <c r="K2318" i="1"/>
  <c r="E2318" i="1"/>
  <c r="H2317" i="1"/>
  <c r="E2317" i="1"/>
  <c r="K2317" i="1" s="1"/>
  <c r="H2316" i="1"/>
  <c r="E2316" i="1"/>
  <c r="K2316" i="1" s="1"/>
  <c r="K2315" i="1"/>
  <c r="H2315" i="1"/>
  <c r="E2315" i="1"/>
  <c r="K2314" i="1"/>
  <c r="K2313" i="1"/>
  <c r="G2313" i="1"/>
  <c r="E2313" i="1"/>
  <c r="K2312" i="1"/>
  <c r="G2312" i="1"/>
  <c r="E2312" i="1"/>
  <c r="K2311" i="1"/>
  <c r="K2310" i="1"/>
  <c r="K2309" i="1"/>
  <c r="E2308" i="1"/>
  <c r="K2308" i="1" s="1"/>
  <c r="K2307" i="1"/>
  <c r="E2307" i="1"/>
  <c r="E2306" i="1"/>
  <c r="K2306" i="1" s="1"/>
  <c r="K2305" i="1"/>
  <c r="E2305" i="1"/>
  <c r="E2304" i="1"/>
  <c r="K2304" i="1" s="1"/>
  <c r="K2303" i="1"/>
  <c r="E2303" i="1"/>
  <c r="E2302" i="1"/>
  <c r="K2302" i="1" s="1"/>
  <c r="K2301" i="1"/>
  <c r="E2301" i="1"/>
  <c r="E2300" i="1"/>
  <c r="K2300" i="1" s="1"/>
  <c r="K2299" i="1"/>
  <c r="E2299" i="1"/>
  <c r="E2298" i="1"/>
  <c r="K2298" i="1" s="1"/>
  <c r="K2297" i="1"/>
  <c r="E2297" i="1"/>
  <c r="E2296" i="1"/>
  <c r="K2296" i="1" s="1"/>
  <c r="K2295" i="1"/>
  <c r="E2295" i="1"/>
  <c r="E2294" i="1"/>
  <c r="K2294" i="1" s="1"/>
  <c r="K2293" i="1"/>
  <c r="K2292" i="1"/>
  <c r="K2291" i="1"/>
  <c r="K2290" i="1"/>
  <c r="K2289" i="1"/>
  <c r="K2288" i="1"/>
  <c r="K2287" i="1"/>
  <c r="K2286" i="1"/>
  <c r="K2285" i="1"/>
  <c r="K2284" i="1"/>
  <c r="K2283" i="1"/>
  <c r="K2282" i="1"/>
  <c r="K2281" i="1"/>
  <c r="K2280" i="1"/>
  <c r="K2279" i="1"/>
  <c r="K2278" i="1"/>
  <c r="K2277" i="1"/>
  <c r="K2276" i="1"/>
  <c r="K2275" i="1"/>
  <c r="K2274" i="1"/>
  <c r="K2273" i="1"/>
  <c r="K2272" i="1"/>
  <c r="K2271" i="1"/>
  <c r="K2270" i="1"/>
  <c r="K2269" i="1"/>
  <c r="K2268" i="1"/>
  <c r="K2267" i="1"/>
  <c r="K2266" i="1"/>
  <c r="K2265" i="1"/>
  <c r="K2264" i="1"/>
  <c r="K2263" i="1"/>
  <c r="K2262" i="1"/>
  <c r="K2261" i="1"/>
  <c r="K2260" i="1"/>
  <c r="K2259" i="1"/>
  <c r="K2258" i="1"/>
  <c r="K2257" i="1"/>
  <c r="K2256" i="1"/>
  <c r="K2255" i="1"/>
  <c r="K2254" i="1"/>
  <c r="K2253" i="1"/>
  <c r="K2252" i="1"/>
  <c r="K2251" i="1"/>
  <c r="K2250" i="1"/>
  <c r="K2249" i="1"/>
  <c r="K2248" i="1"/>
  <c r="K2247" i="1"/>
  <c r="K2246" i="1"/>
  <c r="K2245" i="1"/>
  <c r="E2245" i="1"/>
  <c r="E2244" i="1"/>
  <c r="K2244" i="1" s="1"/>
  <c r="K2243" i="1"/>
  <c r="E2243" i="1"/>
  <c r="E2242" i="1"/>
  <c r="K2242" i="1" s="1"/>
  <c r="K2241" i="1"/>
  <c r="E2241" i="1"/>
  <c r="E2240" i="1"/>
  <c r="K2240" i="1" s="1"/>
  <c r="K2239" i="1"/>
  <c r="E2239" i="1"/>
  <c r="K2238" i="1"/>
  <c r="K2237" i="1"/>
  <c r="K2236" i="1"/>
  <c r="K2235" i="1"/>
  <c r="K2234" i="1"/>
  <c r="K2233" i="1"/>
  <c r="K2232" i="1"/>
  <c r="K2231" i="1"/>
  <c r="H2231" i="1"/>
  <c r="E2231" i="1"/>
  <c r="K2230" i="1"/>
  <c r="H2230" i="1"/>
  <c r="E2230" i="1"/>
  <c r="H2229" i="1"/>
  <c r="E2229" i="1"/>
  <c r="H2228" i="1"/>
  <c r="E2228" i="1"/>
  <c r="K2228" i="1" s="1"/>
  <c r="K2227" i="1"/>
  <c r="H2227" i="1"/>
  <c r="E2227" i="1"/>
  <c r="K2226" i="1"/>
  <c r="H2226" i="1"/>
  <c r="E2226" i="1"/>
  <c r="H2225" i="1"/>
  <c r="E2225" i="1"/>
  <c r="H2224" i="1"/>
  <c r="E2224" i="1"/>
  <c r="K2224" i="1" s="1"/>
  <c r="K2223" i="1"/>
  <c r="H2223" i="1"/>
  <c r="E2223" i="1"/>
  <c r="K2222" i="1"/>
  <c r="H2222" i="1"/>
  <c r="E2222" i="1"/>
  <c r="H2221" i="1"/>
  <c r="E2221" i="1"/>
  <c r="H2220" i="1"/>
  <c r="E2220" i="1"/>
  <c r="K2220" i="1" s="1"/>
  <c r="K2219" i="1"/>
  <c r="E2219" i="1"/>
  <c r="E2218" i="1"/>
  <c r="K2218" i="1" s="1"/>
  <c r="K2217" i="1"/>
  <c r="E2217" i="1"/>
  <c r="E2216" i="1"/>
  <c r="K2216" i="1" s="1"/>
  <c r="K2215" i="1"/>
  <c r="E2215" i="1"/>
  <c r="E2214" i="1"/>
  <c r="K2214" i="1" s="1"/>
  <c r="K2213" i="1"/>
  <c r="E2213" i="1"/>
  <c r="E2212" i="1"/>
  <c r="K2212" i="1" s="1"/>
  <c r="K2211" i="1"/>
  <c r="E2211" i="1"/>
  <c r="E2210" i="1"/>
  <c r="K2210" i="1" s="1"/>
  <c r="K2209" i="1"/>
  <c r="E2209" i="1"/>
  <c r="E2208" i="1"/>
  <c r="K2208" i="1" s="1"/>
  <c r="K2207" i="1"/>
  <c r="K2206" i="1"/>
  <c r="K2205" i="1"/>
  <c r="K2204" i="1"/>
  <c r="K2203" i="1"/>
  <c r="K2202" i="1"/>
  <c r="K2201" i="1"/>
  <c r="K2200" i="1"/>
  <c r="K2199" i="1"/>
  <c r="K2198" i="1"/>
  <c r="K2197" i="1"/>
  <c r="K2196" i="1"/>
  <c r="K2195" i="1"/>
  <c r="K2194" i="1"/>
  <c r="K2193" i="1"/>
  <c r="K2192" i="1"/>
  <c r="K2191" i="1"/>
  <c r="K2190" i="1"/>
  <c r="K2189" i="1"/>
  <c r="K2188" i="1"/>
  <c r="K2187" i="1"/>
  <c r="K2186" i="1"/>
  <c r="K2185" i="1"/>
  <c r="K2184" i="1"/>
  <c r="K2183" i="1"/>
  <c r="K2182" i="1"/>
  <c r="K2181" i="1"/>
  <c r="K2180" i="1"/>
  <c r="K2179" i="1"/>
  <c r="E2178" i="1"/>
  <c r="K2178" i="1" s="1"/>
  <c r="K2177" i="1"/>
  <c r="E2177" i="1"/>
  <c r="E2176" i="1"/>
  <c r="K2176" i="1" s="1"/>
  <c r="K2175" i="1"/>
  <c r="E2175" i="1"/>
  <c r="H2174" i="1"/>
  <c r="E2174" i="1"/>
  <c r="K2174" i="1" s="1"/>
  <c r="K2173" i="1"/>
  <c r="H2173" i="1"/>
  <c r="E2173" i="1"/>
  <c r="K2172" i="1"/>
  <c r="H2172" i="1"/>
  <c r="E2172" i="1"/>
  <c r="H2171" i="1"/>
  <c r="E2171" i="1"/>
  <c r="K2171" i="1" s="1"/>
  <c r="H2170" i="1"/>
  <c r="E2170" i="1"/>
  <c r="K2170" i="1" s="1"/>
  <c r="K2169" i="1"/>
  <c r="E2169" i="1"/>
  <c r="H2168" i="1"/>
  <c r="E2168" i="1"/>
  <c r="K2168" i="1" s="1"/>
  <c r="K2167" i="1"/>
  <c r="H2166" i="1"/>
  <c r="E2166" i="1"/>
  <c r="H2165" i="1"/>
  <c r="E2165" i="1"/>
  <c r="K2165" i="1" s="1"/>
  <c r="K2164" i="1"/>
  <c r="H2164" i="1"/>
  <c r="E2164" i="1"/>
  <c r="K2163" i="1"/>
  <c r="H2163" i="1"/>
  <c r="E2163" i="1"/>
  <c r="H2162" i="1"/>
  <c r="E2162" i="1"/>
  <c r="H2161" i="1"/>
  <c r="E2161" i="1"/>
  <c r="K2161" i="1" s="1"/>
  <c r="K2160" i="1"/>
  <c r="H2160" i="1"/>
  <c r="E2160" i="1"/>
  <c r="K2159" i="1"/>
  <c r="H2159" i="1"/>
  <c r="E2159" i="1"/>
  <c r="H2158" i="1"/>
  <c r="E2158" i="1"/>
  <c r="K2157" i="1"/>
  <c r="K2156" i="1"/>
  <c r="K2155" i="1"/>
  <c r="K2154" i="1"/>
  <c r="K2153" i="1"/>
  <c r="K2152" i="1"/>
  <c r="K2151" i="1"/>
  <c r="K2150" i="1"/>
  <c r="K2149" i="1"/>
  <c r="K2148" i="1"/>
  <c r="K2147" i="1"/>
  <c r="K2146" i="1"/>
  <c r="E2146" i="1"/>
  <c r="E2145" i="1"/>
  <c r="K2145" i="1" s="1"/>
  <c r="K2144" i="1"/>
  <c r="E2144" i="1"/>
  <c r="E2143" i="1"/>
  <c r="K2143" i="1" s="1"/>
  <c r="K2142" i="1"/>
  <c r="E2142" i="1"/>
  <c r="E2141" i="1"/>
  <c r="K2141" i="1" s="1"/>
  <c r="K2140" i="1"/>
  <c r="E2140" i="1"/>
  <c r="E2139" i="1"/>
  <c r="K2139" i="1" s="1"/>
  <c r="K2138" i="1"/>
  <c r="E2138" i="1"/>
  <c r="E2137" i="1"/>
  <c r="K2137" i="1" s="1"/>
  <c r="K2136" i="1"/>
  <c r="E2136" i="1"/>
  <c r="E2135" i="1"/>
  <c r="K2135" i="1" s="1"/>
  <c r="K2134" i="1"/>
  <c r="E2134" i="1"/>
  <c r="E2133" i="1"/>
  <c r="K2133" i="1" s="1"/>
  <c r="K2132" i="1"/>
  <c r="E2132" i="1"/>
  <c r="E2131" i="1"/>
  <c r="K2131" i="1" s="1"/>
  <c r="K2130" i="1"/>
  <c r="E2130" i="1"/>
  <c r="E2129" i="1"/>
  <c r="K2129" i="1" s="1"/>
  <c r="K2128" i="1"/>
  <c r="E2128" i="1"/>
  <c r="E2127" i="1"/>
  <c r="K2127" i="1" s="1"/>
  <c r="K2126" i="1"/>
  <c r="E2126" i="1"/>
  <c r="E2125" i="1"/>
  <c r="K2125" i="1" s="1"/>
  <c r="K2124" i="1"/>
  <c r="E2124" i="1"/>
  <c r="E2123" i="1"/>
  <c r="K2123" i="1" s="1"/>
  <c r="K2122" i="1"/>
  <c r="E2122" i="1"/>
  <c r="E2121" i="1"/>
  <c r="K2121" i="1" s="1"/>
  <c r="K2120" i="1"/>
  <c r="E2120" i="1"/>
  <c r="K2119" i="1"/>
  <c r="K2118" i="1"/>
  <c r="K2117" i="1"/>
  <c r="K2116" i="1"/>
  <c r="K2115" i="1"/>
  <c r="K2114" i="1"/>
  <c r="E2114" i="1"/>
  <c r="E2113" i="1"/>
  <c r="K2113" i="1" s="1"/>
  <c r="K2112" i="1"/>
  <c r="E2112" i="1"/>
  <c r="E2111" i="1"/>
  <c r="K2111" i="1" s="1"/>
  <c r="K2110" i="1"/>
  <c r="G2110" i="1"/>
  <c r="G2109" i="1"/>
  <c r="K2109" i="1" s="1"/>
  <c r="K2108" i="1"/>
  <c r="G2108" i="1"/>
  <c r="G2107" i="1"/>
  <c r="K2107" i="1" s="1"/>
  <c r="K2106" i="1"/>
  <c r="G2106" i="1"/>
  <c r="G2105" i="1"/>
  <c r="K2105" i="1" s="1"/>
  <c r="K2104" i="1"/>
  <c r="G2104" i="1"/>
  <c r="G2103" i="1"/>
  <c r="K2103" i="1" s="1"/>
  <c r="K2102" i="1"/>
  <c r="G2102" i="1"/>
  <c r="G2101" i="1"/>
  <c r="K2101" i="1" s="1"/>
  <c r="K2100" i="1"/>
  <c r="G2100" i="1"/>
  <c r="G2099" i="1"/>
  <c r="K2099" i="1" s="1"/>
  <c r="K2098" i="1"/>
  <c r="G2098" i="1"/>
  <c r="G2097" i="1"/>
  <c r="K2097" i="1" s="1"/>
  <c r="K2096" i="1"/>
  <c r="G2096" i="1"/>
  <c r="G2095" i="1"/>
  <c r="K2095" i="1" s="1"/>
  <c r="K2094" i="1"/>
  <c r="G2094" i="1"/>
  <c r="G2093" i="1"/>
  <c r="K2093" i="1" s="1"/>
  <c r="K2092" i="1"/>
  <c r="G2092" i="1"/>
  <c r="G2091" i="1"/>
  <c r="K2091" i="1" s="1"/>
  <c r="K2090" i="1"/>
  <c r="G2090" i="1"/>
  <c r="G2089" i="1"/>
  <c r="K2089" i="1" s="1"/>
  <c r="K2088" i="1"/>
  <c r="G2088" i="1"/>
  <c r="K2087" i="1"/>
  <c r="H2087" i="1"/>
  <c r="K2086" i="1"/>
  <c r="H2086" i="1"/>
  <c r="K2085" i="1"/>
  <c r="H2085" i="1"/>
  <c r="K2084" i="1"/>
  <c r="H2084" i="1"/>
  <c r="K2083" i="1"/>
  <c r="H2083" i="1"/>
  <c r="K2082" i="1"/>
  <c r="H2082" i="1"/>
  <c r="K2081" i="1"/>
  <c r="H2081" i="1"/>
  <c r="K2080" i="1"/>
  <c r="H2080" i="1"/>
  <c r="K2079" i="1"/>
  <c r="H2079" i="1"/>
  <c r="K2078" i="1"/>
  <c r="H2078" i="1"/>
  <c r="K2077" i="1"/>
  <c r="H2077" i="1"/>
  <c r="K2076" i="1"/>
  <c r="H2076" i="1"/>
  <c r="K2075" i="1"/>
  <c r="H2075" i="1"/>
  <c r="K2074" i="1"/>
  <c r="H2074" i="1"/>
  <c r="K2073" i="1"/>
  <c r="H2073" i="1"/>
  <c r="K2072" i="1"/>
  <c r="K2071" i="1"/>
  <c r="K2070" i="1"/>
  <c r="K2069" i="1"/>
  <c r="K2068" i="1"/>
  <c r="K2067" i="1"/>
  <c r="K2066" i="1"/>
  <c r="K2065" i="1"/>
  <c r="K2064" i="1"/>
  <c r="K2063" i="1"/>
  <c r="K2062" i="1"/>
  <c r="K2061" i="1"/>
  <c r="K2060" i="1"/>
  <c r="K2059" i="1"/>
  <c r="K2058" i="1"/>
  <c r="K2057" i="1"/>
  <c r="K2056" i="1"/>
  <c r="K2055" i="1"/>
  <c r="K2054" i="1"/>
  <c r="K2053" i="1"/>
  <c r="K2052" i="1"/>
  <c r="K2051" i="1"/>
  <c r="K2050" i="1"/>
  <c r="K2049" i="1"/>
  <c r="K2048" i="1"/>
  <c r="K2047" i="1"/>
  <c r="K2046" i="1"/>
  <c r="K2045" i="1"/>
  <c r="K2044" i="1"/>
  <c r="K2043" i="1"/>
  <c r="K2042" i="1"/>
  <c r="K2041" i="1"/>
  <c r="K2040" i="1"/>
  <c r="K2039" i="1"/>
  <c r="K2038" i="1"/>
  <c r="K2037" i="1"/>
  <c r="K2036" i="1"/>
  <c r="K2035" i="1"/>
  <c r="K2034" i="1"/>
  <c r="G2034" i="1"/>
  <c r="K2033" i="1"/>
  <c r="G2033" i="1"/>
  <c r="K2032" i="1"/>
  <c r="G2032" i="1"/>
  <c r="K2031" i="1"/>
  <c r="G2031" i="1"/>
  <c r="K2030" i="1"/>
  <c r="G2030" i="1"/>
  <c r="K2029" i="1"/>
  <c r="G2029" i="1"/>
  <c r="G2028" i="1"/>
  <c r="K2028" i="1" s="1"/>
  <c r="K2027" i="1"/>
  <c r="G2027" i="1"/>
  <c r="G2026" i="1"/>
  <c r="K2026" i="1" s="1"/>
  <c r="K2025" i="1"/>
  <c r="G2025" i="1"/>
  <c r="G2024" i="1"/>
  <c r="K2024" i="1" s="1"/>
  <c r="K2023" i="1"/>
  <c r="G2023" i="1"/>
  <c r="G2022" i="1"/>
  <c r="K2022" i="1" s="1"/>
  <c r="K2021" i="1"/>
  <c r="K2020" i="1"/>
  <c r="K2019" i="1"/>
  <c r="K2018" i="1"/>
  <c r="K2017" i="1"/>
  <c r="K2016" i="1"/>
  <c r="K2015" i="1"/>
  <c r="K2014" i="1"/>
  <c r="K2013" i="1"/>
  <c r="K2012" i="1"/>
  <c r="K2011" i="1"/>
  <c r="K2010" i="1"/>
  <c r="K2009" i="1"/>
  <c r="K2008" i="1"/>
  <c r="G2008" i="1"/>
  <c r="E2008" i="1"/>
  <c r="K2007" i="1"/>
  <c r="G2007" i="1"/>
  <c r="E2007" i="1"/>
  <c r="G2006" i="1"/>
  <c r="E2006" i="1"/>
  <c r="K2006" i="1" s="1"/>
  <c r="G2005" i="1"/>
  <c r="E2005" i="1"/>
  <c r="K2005" i="1" s="1"/>
  <c r="K2004" i="1"/>
  <c r="G2004" i="1"/>
  <c r="E2004" i="1"/>
  <c r="K2003" i="1"/>
  <c r="G2003" i="1"/>
  <c r="E2003" i="1"/>
  <c r="G2002" i="1"/>
  <c r="E2002" i="1"/>
  <c r="K2002" i="1" s="1"/>
  <c r="G2001" i="1"/>
  <c r="E2001" i="1"/>
  <c r="K2001" i="1" s="1"/>
  <c r="K2000" i="1"/>
  <c r="G2000" i="1"/>
  <c r="E2000" i="1"/>
  <c r="K1999" i="1"/>
  <c r="G1999" i="1"/>
  <c r="E1999" i="1"/>
  <c r="G1998" i="1"/>
  <c r="E1998" i="1"/>
  <c r="K1998" i="1" s="1"/>
  <c r="G1997" i="1"/>
  <c r="E1997" i="1"/>
  <c r="K1997" i="1" s="1"/>
  <c r="K1996" i="1"/>
  <c r="G1996" i="1"/>
  <c r="E1996" i="1"/>
  <c r="K1995" i="1"/>
  <c r="G1995" i="1"/>
  <c r="E1995" i="1"/>
  <c r="G1994" i="1"/>
  <c r="E1994" i="1"/>
  <c r="K1994" i="1" s="1"/>
  <c r="G1993" i="1"/>
  <c r="E1993" i="1"/>
  <c r="K1993" i="1" s="1"/>
  <c r="K1992" i="1"/>
  <c r="G1991" i="1"/>
  <c r="E1991" i="1"/>
  <c r="K1991" i="1" s="1"/>
  <c r="K1990" i="1"/>
  <c r="G1990" i="1"/>
  <c r="E1990" i="1"/>
  <c r="K1989" i="1"/>
  <c r="G1989" i="1"/>
  <c r="E1989" i="1"/>
  <c r="G1988" i="1"/>
  <c r="E1988" i="1"/>
  <c r="G1987" i="1"/>
  <c r="E1987" i="1"/>
  <c r="K1987" i="1" s="1"/>
  <c r="K1986" i="1"/>
  <c r="G1986" i="1"/>
  <c r="E1986" i="1"/>
  <c r="G1985" i="1"/>
  <c r="K1985" i="1" s="1"/>
  <c r="E1985" i="1"/>
  <c r="G1984" i="1"/>
  <c r="E1984" i="1"/>
  <c r="G1983" i="1"/>
  <c r="E1983" i="1"/>
  <c r="K1983" i="1" s="1"/>
  <c r="K1982" i="1"/>
  <c r="G1982" i="1"/>
  <c r="G1981" i="1"/>
  <c r="K1981" i="1" s="1"/>
  <c r="K1980" i="1"/>
  <c r="G1980" i="1"/>
  <c r="G1979" i="1"/>
  <c r="K1979" i="1" s="1"/>
  <c r="K1978" i="1"/>
  <c r="G1978" i="1"/>
  <c r="G1977" i="1"/>
  <c r="K1977" i="1" s="1"/>
  <c r="K1976" i="1"/>
  <c r="G1976" i="1"/>
  <c r="G1975" i="1"/>
  <c r="K1975" i="1" s="1"/>
  <c r="K1974" i="1"/>
  <c r="G1974" i="1"/>
  <c r="G1973" i="1"/>
  <c r="K1973" i="1" s="1"/>
  <c r="K1972" i="1"/>
  <c r="G1972" i="1"/>
  <c r="G1971" i="1"/>
  <c r="K1971" i="1" s="1"/>
  <c r="K1970" i="1"/>
  <c r="G1970" i="1"/>
  <c r="G1969" i="1"/>
  <c r="K1969" i="1" s="1"/>
  <c r="K1968" i="1"/>
  <c r="G1968" i="1"/>
  <c r="G1967" i="1"/>
  <c r="K1967" i="1" s="1"/>
  <c r="K1966" i="1"/>
  <c r="G1966" i="1"/>
  <c r="G1965" i="1"/>
  <c r="K1965" i="1" s="1"/>
  <c r="K1964" i="1"/>
  <c r="G1964" i="1"/>
  <c r="G1963" i="1"/>
  <c r="K1963" i="1" s="1"/>
  <c r="K1962" i="1"/>
  <c r="G1962" i="1"/>
  <c r="G1961" i="1"/>
  <c r="K1961" i="1" s="1"/>
  <c r="K1960" i="1"/>
  <c r="G1960" i="1"/>
  <c r="G1959" i="1"/>
  <c r="K1959" i="1" s="1"/>
  <c r="K1958" i="1"/>
  <c r="G1958" i="1"/>
  <c r="G1957" i="1"/>
  <c r="K1957" i="1" s="1"/>
  <c r="K1956" i="1"/>
  <c r="G1956" i="1"/>
  <c r="G1955" i="1"/>
  <c r="K1955" i="1" s="1"/>
  <c r="K1954" i="1"/>
  <c r="G1954" i="1"/>
  <c r="G1953" i="1"/>
  <c r="K1953" i="1" s="1"/>
  <c r="K1952" i="1"/>
  <c r="G1952" i="1"/>
  <c r="G1951" i="1"/>
  <c r="K1951" i="1" s="1"/>
  <c r="K1950" i="1"/>
  <c r="G1950" i="1"/>
  <c r="G1949" i="1"/>
  <c r="K1949" i="1" s="1"/>
  <c r="K1948" i="1"/>
  <c r="G1948" i="1"/>
  <c r="G1947" i="1"/>
  <c r="K1947" i="1" s="1"/>
  <c r="K1946" i="1"/>
  <c r="G1946" i="1"/>
  <c r="G1945" i="1"/>
  <c r="K1945" i="1" s="1"/>
  <c r="K1944" i="1"/>
  <c r="G1944" i="1"/>
  <c r="G1943" i="1"/>
  <c r="K1943" i="1" s="1"/>
  <c r="K1942" i="1"/>
  <c r="G1942" i="1"/>
  <c r="G1941" i="1"/>
  <c r="K1941" i="1" s="1"/>
  <c r="K1940" i="1"/>
  <c r="G1940" i="1"/>
  <c r="G1939" i="1"/>
  <c r="K1939" i="1" s="1"/>
  <c r="K1938" i="1"/>
  <c r="G1938" i="1"/>
  <c r="G1937" i="1"/>
  <c r="K1937" i="1" s="1"/>
  <c r="K1936" i="1"/>
  <c r="G1936" i="1"/>
  <c r="G1935" i="1"/>
  <c r="K1935" i="1" s="1"/>
  <c r="K1934" i="1"/>
  <c r="G1934" i="1"/>
  <c r="G1933" i="1"/>
  <c r="K1933" i="1" s="1"/>
  <c r="G1932" i="1"/>
  <c r="K1932" i="1" s="1"/>
  <c r="G1931" i="1"/>
  <c r="K1931" i="1" s="1"/>
  <c r="K1930" i="1"/>
  <c r="G1930" i="1"/>
  <c r="K1929" i="1"/>
  <c r="G1929" i="1"/>
  <c r="K1928" i="1"/>
  <c r="G1928" i="1"/>
  <c r="K1927" i="1"/>
  <c r="G1927" i="1"/>
  <c r="K1926" i="1"/>
  <c r="G1926" i="1"/>
  <c r="K1925" i="1"/>
  <c r="G1925" i="1"/>
  <c r="K1924" i="1"/>
  <c r="G1924" i="1"/>
  <c r="K1923" i="1"/>
  <c r="G1923" i="1"/>
  <c r="K1922" i="1"/>
  <c r="G1922" i="1"/>
  <c r="K1921" i="1"/>
  <c r="G1921" i="1"/>
  <c r="K1920" i="1"/>
  <c r="G1920" i="1"/>
  <c r="K1919" i="1"/>
  <c r="G1919" i="1"/>
  <c r="K1918" i="1"/>
  <c r="G1918" i="1"/>
  <c r="K1917" i="1"/>
  <c r="G1917" i="1"/>
  <c r="K1916" i="1"/>
  <c r="G1916" i="1"/>
  <c r="K1915" i="1"/>
  <c r="G1915" i="1"/>
  <c r="K1914" i="1"/>
  <c r="G1914" i="1"/>
  <c r="K1913" i="1"/>
  <c r="G1913" i="1"/>
  <c r="K1912" i="1"/>
  <c r="G1912" i="1"/>
  <c r="K1911" i="1"/>
  <c r="G1911" i="1"/>
  <c r="K1910" i="1"/>
  <c r="G1910" i="1"/>
  <c r="K1909" i="1"/>
  <c r="G1909" i="1"/>
  <c r="K1908" i="1"/>
  <c r="G1908" i="1"/>
  <c r="K1907" i="1"/>
  <c r="G1907" i="1"/>
  <c r="K1906" i="1"/>
  <c r="G1906" i="1"/>
  <c r="K1905" i="1"/>
  <c r="G1905" i="1"/>
  <c r="K1904" i="1"/>
  <c r="G1904" i="1"/>
  <c r="K1903" i="1"/>
  <c r="G1903" i="1"/>
  <c r="K1902" i="1"/>
  <c r="G1902" i="1"/>
  <c r="K1901" i="1"/>
  <c r="G1901" i="1"/>
  <c r="K1900" i="1"/>
  <c r="G1900" i="1"/>
  <c r="K1899" i="1"/>
  <c r="G1899" i="1"/>
  <c r="K1898" i="1"/>
  <c r="G1898" i="1"/>
  <c r="K1897" i="1"/>
  <c r="G1897" i="1"/>
  <c r="K1896" i="1"/>
  <c r="G1896" i="1"/>
  <c r="K1895" i="1"/>
  <c r="G1895" i="1"/>
  <c r="K1894" i="1"/>
  <c r="G1894" i="1"/>
  <c r="K1893" i="1"/>
  <c r="K1892" i="1"/>
  <c r="K1891" i="1"/>
  <c r="K1890" i="1"/>
  <c r="K1889" i="1"/>
  <c r="K1888" i="1"/>
  <c r="K1887" i="1"/>
  <c r="K1886" i="1"/>
  <c r="K1885" i="1"/>
  <c r="K1884" i="1"/>
  <c r="K1883" i="1"/>
  <c r="K1882" i="1"/>
  <c r="K1881" i="1"/>
  <c r="K1880" i="1"/>
  <c r="K1879" i="1"/>
  <c r="K1878" i="1"/>
  <c r="K1877" i="1"/>
  <c r="K1876" i="1"/>
  <c r="K1875" i="1"/>
  <c r="K1874" i="1"/>
  <c r="K1873" i="1"/>
  <c r="G1873" i="1"/>
  <c r="K1872" i="1"/>
  <c r="K1871" i="1"/>
  <c r="K1870" i="1"/>
  <c r="K1869" i="1"/>
  <c r="K1868" i="1"/>
  <c r="K1867" i="1"/>
  <c r="K1866" i="1"/>
  <c r="K1865" i="1"/>
  <c r="K1864" i="1"/>
  <c r="K1863" i="1"/>
  <c r="K1862" i="1"/>
  <c r="K1861" i="1"/>
  <c r="K1860" i="1"/>
  <c r="K1859" i="1"/>
  <c r="K1858" i="1"/>
  <c r="K1857" i="1"/>
  <c r="K1856" i="1"/>
  <c r="K1855" i="1"/>
  <c r="K1854" i="1"/>
  <c r="K1853" i="1"/>
  <c r="K1852" i="1"/>
  <c r="K1851" i="1"/>
  <c r="K1850" i="1"/>
  <c r="K1849" i="1"/>
  <c r="K1848" i="1"/>
  <c r="K1847" i="1"/>
  <c r="K1846" i="1"/>
  <c r="K1845" i="1"/>
  <c r="K1844" i="1"/>
  <c r="K1843" i="1"/>
  <c r="K1842" i="1"/>
  <c r="K1841" i="1"/>
  <c r="K1840" i="1"/>
  <c r="K1839" i="1"/>
  <c r="K1838" i="1"/>
  <c r="K1837" i="1"/>
  <c r="K1836" i="1"/>
  <c r="K1835" i="1"/>
  <c r="K1834" i="1"/>
  <c r="K1833" i="1"/>
  <c r="K1832" i="1"/>
  <c r="K1831" i="1"/>
  <c r="K1830" i="1"/>
  <c r="K1829" i="1"/>
  <c r="K1828" i="1"/>
  <c r="K1827" i="1"/>
  <c r="K1826" i="1"/>
  <c r="K1825" i="1"/>
  <c r="K1824" i="1"/>
  <c r="K1823" i="1"/>
  <c r="K1822" i="1"/>
  <c r="K1821" i="1"/>
  <c r="K1820" i="1"/>
  <c r="K1819" i="1"/>
  <c r="K1818" i="1"/>
  <c r="K1817" i="1"/>
  <c r="K1816" i="1"/>
  <c r="K1815" i="1"/>
  <c r="K1814" i="1"/>
  <c r="K1813" i="1"/>
  <c r="K1812" i="1"/>
  <c r="K1811" i="1"/>
  <c r="K1810" i="1"/>
  <c r="K1809" i="1"/>
  <c r="K1808" i="1"/>
  <c r="K1807" i="1"/>
  <c r="K1806" i="1"/>
  <c r="K1805" i="1"/>
  <c r="K1804" i="1"/>
  <c r="K1803" i="1"/>
  <c r="K1802" i="1"/>
  <c r="K1801" i="1"/>
  <c r="K1800" i="1"/>
  <c r="K1799" i="1"/>
  <c r="K1798" i="1"/>
  <c r="K1797" i="1"/>
  <c r="K1796" i="1"/>
  <c r="K1795" i="1"/>
  <c r="K1794" i="1"/>
  <c r="K1793" i="1"/>
  <c r="K1792" i="1"/>
  <c r="K1791" i="1"/>
  <c r="K1790" i="1"/>
  <c r="K1789" i="1"/>
  <c r="K1788" i="1"/>
  <c r="K1787" i="1"/>
  <c r="K1786" i="1"/>
  <c r="K1785" i="1"/>
  <c r="K1784" i="1"/>
  <c r="K1783" i="1"/>
  <c r="K1782" i="1"/>
  <c r="K1781" i="1"/>
  <c r="K1780" i="1"/>
  <c r="K1779" i="1"/>
  <c r="K1778" i="1"/>
  <c r="K1777" i="1"/>
  <c r="K1776" i="1"/>
  <c r="K1775" i="1"/>
  <c r="K1774" i="1"/>
  <c r="K1773" i="1"/>
  <c r="K1772" i="1"/>
  <c r="K1771" i="1"/>
  <c r="K1770" i="1"/>
  <c r="K1769" i="1"/>
  <c r="K1768" i="1"/>
  <c r="K1767" i="1"/>
  <c r="K1766" i="1"/>
  <c r="K1765" i="1"/>
  <c r="K1764" i="1"/>
  <c r="K1763" i="1"/>
  <c r="K1762" i="1"/>
  <c r="K1761" i="1"/>
  <c r="K1760" i="1"/>
  <c r="K1759" i="1"/>
  <c r="K1758" i="1"/>
  <c r="K1757" i="1"/>
  <c r="K1756" i="1"/>
  <c r="K1755" i="1"/>
  <c r="K1754" i="1"/>
  <c r="K1753" i="1"/>
  <c r="K1752" i="1"/>
  <c r="K1751" i="1"/>
  <c r="K1750" i="1"/>
  <c r="K1749" i="1"/>
  <c r="K1748" i="1"/>
  <c r="K1747" i="1"/>
  <c r="K1746" i="1"/>
  <c r="K1745" i="1"/>
  <c r="K1744" i="1"/>
  <c r="K1743" i="1"/>
  <c r="K1742" i="1"/>
  <c r="K1741" i="1"/>
  <c r="K1740" i="1"/>
  <c r="K1739" i="1"/>
  <c r="K1738" i="1"/>
  <c r="K1737" i="1"/>
  <c r="K1736" i="1"/>
  <c r="K1735" i="1"/>
  <c r="K1734" i="1"/>
  <c r="K1733" i="1"/>
  <c r="K1732" i="1"/>
  <c r="K1731" i="1"/>
  <c r="K1730" i="1"/>
  <c r="K1729" i="1"/>
  <c r="K1728" i="1"/>
  <c r="K1727" i="1"/>
  <c r="K1726" i="1"/>
  <c r="K1725" i="1"/>
  <c r="K1724" i="1"/>
  <c r="K1723" i="1"/>
  <c r="K1722" i="1"/>
  <c r="K1721" i="1"/>
  <c r="K1720" i="1"/>
  <c r="K1719" i="1"/>
  <c r="K1718" i="1"/>
  <c r="K1717" i="1"/>
  <c r="K1716" i="1"/>
  <c r="K1715" i="1"/>
  <c r="K1714" i="1"/>
  <c r="K1713" i="1"/>
  <c r="K1712" i="1"/>
  <c r="K1711" i="1"/>
  <c r="G1710" i="1"/>
  <c r="E1710" i="1"/>
  <c r="K1710" i="1" s="1"/>
  <c r="G1709" i="1"/>
  <c r="K1709" i="1" s="1"/>
  <c r="E1709" i="1"/>
  <c r="K1708" i="1"/>
  <c r="G1708" i="1"/>
  <c r="E1708" i="1"/>
  <c r="G1707" i="1"/>
  <c r="E1707" i="1"/>
  <c r="K1707" i="1" s="1"/>
  <c r="G1706" i="1"/>
  <c r="E1706" i="1"/>
  <c r="K1706" i="1" s="1"/>
  <c r="G1705" i="1"/>
  <c r="K1705" i="1" s="1"/>
  <c r="E1705" i="1"/>
  <c r="K1704" i="1"/>
  <c r="G1704" i="1"/>
  <c r="E1704" i="1"/>
  <c r="G1703" i="1"/>
  <c r="E1703" i="1"/>
  <c r="G1702" i="1"/>
  <c r="E1702" i="1"/>
  <c r="K1702" i="1" s="1"/>
  <c r="G1701" i="1"/>
  <c r="K1701" i="1" s="1"/>
  <c r="E1701" i="1"/>
  <c r="K1700" i="1"/>
  <c r="G1700" i="1"/>
  <c r="E1700" i="1"/>
  <c r="K1699" i="1"/>
  <c r="K1698" i="1"/>
  <c r="K1697" i="1"/>
  <c r="K1696" i="1"/>
  <c r="K1695" i="1"/>
  <c r="K1694" i="1"/>
  <c r="G1694" i="1"/>
  <c r="E1694" i="1"/>
  <c r="G1693" i="1"/>
  <c r="E1693" i="1"/>
  <c r="K1693" i="1" s="1"/>
  <c r="G1692" i="1"/>
  <c r="E1692" i="1"/>
  <c r="K1692" i="1" s="1"/>
  <c r="K1691" i="1"/>
  <c r="K1690" i="1"/>
  <c r="K1689" i="1"/>
  <c r="K1688" i="1"/>
  <c r="K1687" i="1"/>
  <c r="G1686" i="1"/>
  <c r="E1686" i="1"/>
  <c r="K1686" i="1" s="1"/>
  <c r="G1685" i="1"/>
  <c r="K1685" i="1" s="1"/>
  <c r="E1685" i="1"/>
  <c r="K1684" i="1"/>
  <c r="E1684" i="1"/>
  <c r="K1683" i="1"/>
  <c r="E1683" i="1"/>
  <c r="K1682" i="1"/>
  <c r="G1682" i="1"/>
  <c r="E1682" i="1"/>
  <c r="G1681" i="1"/>
  <c r="E1681" i="1"/>
  <c r="K1681" i="1" s="1"/>
  <c r="G1680" i="1"/>
  <c r="F1680" i="1"/>
  <c r="K1680" i="1" s="1"/>
  <c r="E1680" i="1"/>
  <c r="G1679" i="1"/>
  <c r="F1679" i="1"/>
  <c r="K1679" i="1" s="1"/>
  <c r="E1679" i="1"/>
  <c r="G1678" i="1"/>
  <c r="F1678" i="1"/>
  <c r="K1678" i="1" s="1"/>
  <c r="E1678" i="1"/>
  <c r="G1677" i="1"/>
  <c r="F1677" i="1"/>
  <c r="K1677" i="1" s="1"/>
  <c r="E1677" i="1"/>
  <c r="G1676" i="1"/>
  <c r="F1676" i="1"/>
  <c r="K1676" i="1" s="1"/>
  <c r="E1676" i="1"/>
  <c r="G1675" i="1"/>
  <c r="F1675" i="1"/>
  <c r="K1675" i="1" s="1"/>
  <c r="E1675" i="1"/>
  <c r="G1674" i="1"/>
  <c r="F1674" i="1"/>
  <c r="K1674" i="1" s="1"/>
  <c r="E1674" i="1"/>
  <c r="G1673" i="1"/>
  <c r="F1673" i="1"/>
  <c r="K1673" i="1" s="1"/>
  <c r="E1673" i="1"/>
  <c r="G1672" i="1"/>
  <c r="F1672" i="1"/>
  <c r="K1672" i="1" s="1"/>
  <c r="E1672" i="1"/>
  <c r="G1671" i="1"/>
  <c r="F1671" i="1"/>
  <c r="K1671" i="1" s="1"/>
  <c r="E1671" i="1"/>
  <c r="K1670" i="1"/>
  <c r="K1669" i="1"/>
  <c r="K1668" i="1"/>
  <c r="K1667" i="1"/>
  <c r="K1666" i="1"/>
  <c r="K1665" i="1"/>
  <c r="K1664" i="1"/>
  <c r="K1663" i="1"/>
  <c r="K1662" i="1"/>
  <c r="K1661" i="1"/>
  <c r="K1660" i="1"/>
  <c r="E1660" i="1"/>
  <c r="K1659" i="1"/>
  <c r="E1659" i="1"/>
  <c r="K1658" i="1"/>
  <c r="E1658" i="1"/>
  <c r="K1657" i="1"/>
  <c r="E1657" i="1"/>
  <c r="K1656" i="1"/>
  <c r="K1655" i="1"/>
  <c r="K1654" i="1"/>
  <c r="K1653" i="1"/>
  <c r="K1652" i="1"/>
  <c r="K1651" i="1"/>
  <c r="K1650" i="1"/>
  <c r="E1650" i="1"/>
  <c r="K1649" i="1"/>
  <c r="E1649" i="1"/>
  <c r="K1648" i="1"/>
  <c r="E1648" i="1"/>
  <c r="K1647" i="1"/>
  <c r="E1647" i="1"/>
  <c r="K1646" i="1"/>
  <c r="E1646" i="1"/>
  <c r="K1645" i="1"/>
  <c r="E1645" i="1"/>
  <c r="E1644" i="1"/>
  <c r="K1644" i="1" s="1"/>
  <c r="K1643" i="1"/>
  <c r="E1643" i="1"/>
  <c r="E1642" i="1"/>
  <c r="K1642" i="1" s="1"/>
  <c r="K1641" i="1"/>
  <c r="E1641" i="1"/>
  <c r="E1640" i="1"/>
  <c r="K1640" i="1" s="1"/>
  <c r="K1639" i="1"/>
  <c r="E1639" i="1"/>
  <c r="E1638" i="1"/>
  <c r="K1638" i="1" s="1"/>
  <c r="K1637" i="1"/>
  <c r="E1637" i="1"/>
  <c r="E1636" i="1"/>
  <c r="K1636" i="1" s="1"/>
  <c r="K1635" i="1"/>
  <c r="E1635" i="1"/>
  <c r="E1634" i="1"/>
  <c r="K1634" i="1" s="1"/>
  <c r="K1633" i="1"/>
  <c r="E1633" i="1"/>
  <c r="E1632" i="1"/>
  <c r="K1632" i="1" s="1"/>
  <c r="K1631" i="1"/>
  <c r="E1631" i="1"/>
  <c r="E1630" i="1"/>
  <c r="K1630" i="1" s="1"/>
  <c r="K1629" i="1"/>
  <c r="E1629" i="1"/>
  <c r="K1628" i="1"/>
  <c r="K1627" i="1"/>
  <c r="K1626" i="1"/>
  <c r="K1625" i="1"/>
  <c r="K1624" i="1"/>
  <c r="K1623" i="1"/>
  <c r="K1622" i="1"/>
  <c r="H1622" i="1"/>
  <c r="H1621" i="1"/>
  <c r="K1621" i="1" s="1"/>
  <c r="K1620" i="1"/>
  <c r="K1619" i="1"/>
  <c r="K1618" i="1"/>
  <c r="K1617" i="1"/>
  <c r="K1616" i="1"/>
  <c r="K1615" i="1"/>
  <c r="K1614" i="1"/>
  <c r="G1613" i="1"/>
  <c r="K1613" i="1" s="1"/>
  <c r="E1613" i="1"/>
  <c r="E1612" i="1"/>
  <c r="K1612" i="1" s="1"/>
  <c r="K1611" i="1"/>
  <c r="E1611" i="1"/>
  <c r="G1610" i="1"/>
  <c r="E1610" i="1"/>
  <c r="K1610" i="1" s="1"/>
  <c r="G1609" i="1"/>
  <c r="E1609" i="1"/>
  <c r="K1609" i="1" s="1"/>
  <c r="K1608" i="1"/>
  <c r="G1608" i="1"/>
  <c r="E1608" i="1"/>
  <c r="G1607" i="1"/>
  <c r="K1607" i="1" s="1"/>
  <c r="E1607" i="1"/>
  <c r="G1606" i="1"/>
  <c r="E1606" i="1"/>
  <c r="K1606" i="1" s="1"/>
  <c r="G1605" i="1"/>
  <c r="E1605" i="1"/>
  <c r="K1605" i="1" s="1"/>
  <c r="K1604" i="1"/>
  <c r="G1604" i="1"/>
  <c r="E1604" i="1"/>
  <c r="G1603" i="1"/>
  <c r="K1603" i="1" s="1"/>
  <c r="E1603" i="1"/>
  <c r="G1602" i="1"/>
  <c r="E1602" i="1"/>
  <c r="K1602" i="1" s="1"/>
  <c r="G1601" i="1"/>
  <c r="E1601" i="1"/>
  <c r="K1601" i="1" s="1"/>
  <c r="K1600" i="1"/>
  <c r="G1600" i="1"/>
  <c r="E1600" i="1"/>
  <c r="G1599" i="1"/>
  <c r="K1599" i="1" s="1"/>
  <c r="E1599" i="1"/>
  <c r="G1598" i="1"/>
  <c r="E1598" i="1"/>
  <c r="K1598" i="1" s="1"/>
  <c r="G1597" i="1"/>
  <c r="E1597" i="1"/>
  <c r="K1597" i="1" s="1"/>
  <c r="K1596" i="1"/>
  <c r="G1596" i="1"/>
  <c r="E1596" i="1"/>
  <c r="K1595" i="1"/>
  <c r="K1594" i="1"/>
  <c r="K1593" i="1"/>
  <c r="K1592" i="1"/>
  <c r="K1591" i="1"/>
  <c r="K1590" i="1"/>
  <c r="K1589" i="1"/>
  <c r="K1588" i="1"/>
  <c r="K1587" i="1"/>
  <c r="K1586" i="1"/>
  <c r="K1585" i="1"/>
  <c r="K1584" i="1"/>
  <c r="K1583" i="1"/>
  <c r="K1582" i="1"/>
  <c r="K1581" i="1"/>
  <c r="K1580" i="1"/>
  <c r="K1579" i="1"/>
  <c r="K1578" i="1"/>
  <c r="K1577" i="1"/>
  <c r="K1576" i="1"/>
  <c r="K1575" i="1"/>
  <c r="K1574" i="1"/>
  <c r="K1573" i="1"/>
  <c r="K1572" i="1"/>
  <c r="K1571" i="1"/>
  <c r="K1570" i="1"/>
  <c r="K1569" i="1"/>
  <c r="K1568" i="1"/>
  <c r="K1567" i="1"/>
  <c r="K1566" i="1"/>
  <c r="K1565" i="1"/>
  <c r="K1564" i="1"/>
  <c r="K1563" i="1"/>
  <c r="K1562" i="1"/>
  <c r="K1561" i="1"/>
  <c r="K1560" i="1"/>
  <c r="G1559" i="1"/>
  <c r="K1559" i="1" s="1"/>
  <c r="E1559" i="1"/>
  <c r="G1558" i="1"/>
  <c r="E1558" i="1"/>
  <c r="K1558" i="1" s="1"/>
  <c r="K1557" i="1"/>
  <c r="K1556" i="1"/>
  <c r="K1555" i="1"/>
  <c r="K1554" i="1"/>
  <c r="K1553" i="1"/>
  <c r="K1552" i="1"/>
  <c r="K1551" i="1"/>
  <c r="K1550" i="1"/>
  <c r="K1549" i="1"/>
  <c r="K1548" i="1"/>
  <c r="K1547" i="1"/>
  <c r="K1546" i="1"/>
  <c r="G1546" i="1"/>
  <c r="E1546" i="1"/>
  <c r="G1545" i="1"/>
  <c r="E1545" i="1"/>
  <c r="G1544" i="1"/>
  <c r="E1544" i="1"/>
  <c r="K1544" i="1" s="1"/>
  <c r="G1543" i="1"/>
  <c r="E1543" i="1"/>
  <c r="K1543" i="1" s="1"/>
  <c r="K1542" i="1"/>
  <c r="G1542" i="1"/>
  <c r="E1542" i="1"/>
  <c r="G1541" i="1"/>
  <c r="E1541" i="1"/>
  <c r="K1541" i="1" s="1"/>
  <c r="G1540" i="1"/>
  <c r="E1540" i="1"/>
  <c r="K1540" i="1" s="1"/>
  <c r="G1539" i="1"/>
  <c r="E1539" i="1"/>
  <c r="K1539" i="1" s="1"/>
  <c r="K1538" i="1"/>
  <c r="G1538" i="1"/>
  <c r="E1538" i="1"/>
  <c r="G1537" i="1"/>
  <c r="E1537" i="1"/>
  <c r="G1536" i="1"/>
  <c r="E1536" i="1"/>
  <c r="K1536" i="1" s="1"/>
  <c r="G1535" i="1"/>
  <c r="E1535" i="1"/>
  <c r="K1535" i="1" s="1"/>
  <c r="K1534" i="1"/>
  <c r="G1534" i="1"/>
  <c r="E1534" i="1"/>
  <c r="G1533" i="1"/>
  <c r="E1533" i="1"/>
  <c r="K1533" i="1" s="1"/>
  <c r="G1532" i="1"/>
  <c r="E1532" i="1"/>
  <c r="K1532" i="1" s="1"/>
  <c r="G1531" i="1"/>
  <c r="K1531" i="1" s="1"/>
  <c r="E1531" i="1"/>
  <c r="K1530" i="1"/>
  <c r="G1530" i="1"/>
  <c r="E1530" i="1"/>
  <c r="G1529" i="1"/>
  <c r="E1529" i="1"/>
  <c r="G1528" i="1"/>
  <c r="E1528" i="1"/>
  <c r="K1528" i="1" s="1"/>
  <c r="G1527" i="1"/>
  <c r="K1527" i="1" s="1"/>
  <c r="E1527" i="1"/>
  <c r="K1526" i="1"/>
  <c r="G1526" i="1"/>
  <c r="E1526" i="1"/>
  <c r="G1525" i="1"/>
  <c r="E1525" i="1"/>
  <c r="K1525" i="1" s="1"/>
  <c r="G1524" i="1"/>
  <c r="E1524" i="1"/>
  <c r="K1524" i="1" s="1"/>
  <c r="K1523" i="1"/>
  <c r="K1522" i="1"/>
  <c r="K1521" i="1"/>
  <c r="K1520" i="1"/>
  <c r="G1520" i="1"/>
  <c r="E1520" i="1"/>
  <c r="G1519" i="1"/>
  <c r="E1519" i="1"/>
  <c r="K1519" i="1" s="1"/>
  <c r="G1518" i="1"/>
  <c r="E1518" i="1"/>
  <c r="K1518" i="1" s="1"/>
  <c r="G1517" i="1"/>
  <c r="K1517" i="1" s="1"/>
  <c r="E1517" i="1"/>
  <c r="K1516" i="1"/>
  <c r="G1516" i="1"/>
  <c r="E1516" i="1"/>
  <c r="G1515" i="1"/>
  <c r="E1515" i="1"/>
  <c r="G1514" i="1"/>
  <c r="E1514" i="1"/>
  <c r="K1514" i="1" s="1"/>
  <c r="G1513" i="1"/>
  <c r="K1513" i="1" s="1"/>
  <c r="E1513" i="1"/>
  <c r="K1512" i="1"/>
  <c r="G1512" i="1"/>
  <c r="E1512" i="1"/>
  <c r="G1511" i="1"/>
  <c r="E1511" i="1"/>
  <c r="K1511" i="1" s="1"/>
  <c r="G1510" i="1"/>
  <c r="E1510" i="1"/>
  <c r="K1510" i="1" s="1"/>
  <c r="G1509" i="1"/>
  <c r="K1509" i="1" s="1"/>
  <c r="E1509" i="1"/>
  <c r="K1508" i="1"/>
  <c r="G1508" i="1"/>
  <c r="E1508" i="1"/>
  <c r="G1507" i="1"/>
  <c r="E1507" i="1"/>
  <c r="G1506" i="1"/>
  <c r="E1506" i="1"/>
  <c r="K1506" i="1" s="1"/>
  <c r="G1505" i="1"/>
  <c r="K1505" i="1" s="1"/>
  <c r="E1505" i="1"/>
  <c r="K1504" i="1"/>
  <c r="G1504" i="1"/>
  <c r="E1504" i="1"/>
  <c r="G1503" i="1"/>
  <c r="E1503" i="1"/>
  <c r="K1503" i="1" s="1"/>
  <c r="G1502" i="1"/>
  <c r="E1502" i="1"/>
  <c r="K1502" i="1" s="1"/>
  <c r="G1501" i="1"/>
  <c r="K1501" i="1" s="1"/>
  <c r="E1501" i="1"/>
  <c r="K1500" i="1"/>
  <c r="G1500" i="1"/>
  <c r="E1500" i="1"/>
  <c r="G1499" i="1"/>
  <c r="E1499" i="1"/>
  <c r="G1498" i="1"/>
  <c r="E1498" i="1"/>
  <c r="K1498" i="1" s="1"/>
  <c r="G1497" i="1"/>
  <c r="K1497" i="1" s="1"/>
  <c r="E1497" i="1"/>
  <c r="K1496" i="1"/>
  <c r="G1496" i="1"/>
  <c r="E1496" i="1"/>
  <c r="G1495" i="1"/>
  <c r="E1495" i="1"/>
  <c r="K1495" i="1" s="1"/>
  <c r="G1494" i="1"/>
  <c r="E1494" i="1"/>
  <c r="K1494" i="1" s="1"/>
  <c r="G1493" i="1"/>
  <c r="K1493" i="1" s="1"/>
  <c r="E1493" i="1"/>
  <c r="K1492" i="1"/>
  <c r="G1492" i="1"/>
  <c r="E1492" i="1"/>
  <c r="G1491" i="1"/>
  <c r="E1491" i="1"/>
  <c r="G1490" i="1"/>
  <c r="E1490" i="1"/>
  <c r="K1490" i="1" s="1"/>
  <c r="G1489" i="1"/>
  <c r="K1489" i="1" s="1"/>
  <c r="E1489" i="1"/>
  <c r="K1488" i="1"/>
  <c r="G1488" i="1"/>
  <c r="E1488" i="1"/>
  <c r="G1487" i="1"/>
  <c r="E1487" i="1"/>
  <c r="K1487" i="1" s="1"/>
  <c r="G1486" i="1"/>
  <c r="E1486" i="1"/>
  <c r="K1486" i="1" s="1"/>
  <c r="G1485" i="1"/>
  <c r="K1485" i="1" s="1"/>
  <c r="E1485" i="1"/>
  <c r="K1484" i="1"/>
  <c r="G1484" i="1"/>
  <c r="E1484" i="1"/>
  <c r="G1483" i="1"/>
  <c r="E1483" i="1"/>
  <c r="G1482" i="1"/>
  <c r="E1482" i="1"/>
  <c r="K1482" i="1" s="1"/>
  <c r="G1481" i="1"/>
  <c r="K1481" i="1" s="1"/>
  <c r="E1481" i="1"/>
  <c r="K1480" i="1"/>
  <c r="G1480" i="1"/>
  <c r="E1480" i="1"/>
  <c r="G1479" i="1"/>
  <c r="E1479" i="1"/>
  <c r="K1479" i="1" s="1"/>
  <c r="G1478" i="1"/>
  <c r="E1478" i="1"/>
  <c r="K1478" i="1" s="1"/>
  <c r="G1477" i="1"/>
  <c r="K1477" i="1" s="1"/>
  <c r="E1477" i="1"/>
  <c r="K1476" i="1"/>
  <c r="G1476" i="1"/>
  <c r="E1476" i="1"/>
  <c r="G1475" i="1"/>
  <c r="E1475" i="1"/>
  <c r="G1474" i="1"/>
  <c r="E1474" i="1"/>
  <c r="K1474" i="1" s="1"/>
  <c r="G1473" i="1"/>
  <c r="K1473" i="1" s="1"/>
  <c r="E1473" i="1"/>
  <c r="K1472" i="1"/>
  <c r="G1472" i="1"/>
  <c r="E1472" i="1"/>
  <c r="G1471" i="1"/>
  <c r="E1471" i="1"/>
  <c r="K1471" i="1" s="1"/>
  <c r="G1470" i="1"/>
  <c r="E1470" i="1"/>
  <c r="K1470" i="1" s="1"/>
  <c r="G1469" i="1"/>
  <c r="K1469" i="1" s="1"/>
  <c r="E1469" i="1"/>
  <c r="K1468" i="1"/>
  <c r="G1468" i="1"/>
  <c r="E1468" i="1"/>
  <c r="G1467" i="1"/>
  <c r="E1467" i="1"/>
  <c r="G1466" i="1"/>
  <c r="E1466" i="1"/>
  <c r="K1466" i="1" s="1"/>
  <c r="G1465" i="1"/>
  <c r="K1465" i="1" s="1"/>
  <c r="E1465" i="1"/>
  <c r="K1464" i="1"/>
  <c r="G1464" i="1"/>
  <c r="E1464" i="1"/>
  <c r="G1463" i="1"/>
  <c r="E1463" i="1"/>
  <c r="K1463" i="1" s="1"/>
  <c r="G1462" i="1"/>
  <c r="E1462" i="1"/>
  <c r="K1462" i="1" s="1"/>
  <c r="G1461" i="1"/>
  <c r="K1461" i="1" s="1"/>
  <c r="E1461" i="1"/>
  <c r="K1460" i="1"/>
  <c r="G1460" i="1"/>
  <c r="E1460" i="1"/>
  <c r="G1459" i="1"/>
  <c r="E1459" i="1"/>
  <c r="G1458" i="1"/>
  <c r="E1458" i="1"/>
  <c r="K1458" i="1" s="1"/>
  <c r="G1457" i="1"/>
  <c r="K1457" i="1" s="1"/>
  <c r="E1457" i="1"/>
  <c r="K1456" i="1"/>
  <c r="G1456" i="1"/>
  <c r="E1456" i="1"/>
  <c r="G1455" i="1"/>
  <c r="E1455" i="1"/>
  <c r="K1455" i="1" s="1"/>
  <c r="G1454" i="1"/>
  <c r="E1454" i="1"/>
  <c r="K1454" i="1" s="1"/>
  <c r="G1453" i="1"/>
  <c r="K1453" i="1" s="1"/>
  <c r="E1453" i="1"/>
  <c r="K1452" i="1"/>
  <c r="G1452" i="1"/>
  <c r="E1452" i="1"/>
  <c r="G1451" i="1"/>
  <c r="E1451" i="1"/>
  <c r="G1450" i="1"/>
  <c r="E1450" i="1"/>
  <c r="K1450" i="1" s="1"/>
  <c r="K1449" i="1"/>
  <c r="K1448" i="1"/>
  <c r="K1447" i="1"/>
  <c r="K1446" i="1"/>
  <c r="K1445" i="1"/>
  <c r="K1444" i="1"/>
  <c r="K1443" i="1"/>
  <c r="K1442" i="1"/>
  <c r="K1441" i="1"/>
  <c r="K1440" i="1"/>
  <c r="K1439" i="1"/>
  <c r="K1438" i="1"/>
  <c r="K1437" i="1"/>
  <c r="K1436" i="1"/>
  <c r="K1435" i="1"/>
  <c r="K1434" i="1"/>
  <c r="K1433" i="1"/>
  <c r="K1432" i="1"/>
  <c r="H1431" i="1"/>
  <c r="E1431" i="1"/>
  <c r="H1430" i="1"/>
  <c r="E1430" i="1"/>
  <c r="K1430" i="1" s="1"/>
  <c r="K1429" i="1"/>
  <c r="H1429" i="1"/>
  <c r="E1429" i="1"/>
  <c r="K1428" i="1"/>
  <c r="H1428" i="1"/>
  <c r="E1428" i="1"/>
  <c r="H1427" i="1"/>
  <c r="E1427" i="1"/>
  <c r="K1426" i="1"/>
  <c r="K1425" i="1"/>
  <c r="K1424" i="1"/>
  <c r="K1423" i="1"/>
  <c r="K1422" i="1"/>
  <c r="K1421" i="1"/>
  <c r="K1420" i="1"/>
  <c r="K1419" i="1"/>
  <c r="K1418" i="1"/>
  <c r="K1417" i="1"/>
  <c r="K1416" i="1"/>
  <c r="K1415" i="1"/>
  <c r="K1414" i="1"/>
  <c r="K1413" i="1"/>
  <c r="K1412" i="1"/>
  <c r="H1412" i="1"/>
  <c r="E1412" i="1"/>
  <c r="H1411" i="1"/>
  <c r="E1411" i="1"/>
  <c r="K1411" i="1" s="1"/>
  <c r="H1410" i="1"/>
  <c r="E1410" i="1"/>
  <c r="K1410" i="1" s="1"/>
  <c r="K1409" i="1"/>
  <c r="H1409" i="1"/>
  <c r="E1409" i="1"/>
  <c r="K1408" i="1"/>
  <c r="H1408" i="1"/>
  <c r="E1408" i="1"/>
  <c r="H1407" i="1"/>
  <c r="E1407" i="1"/>
  <c r="K1407" i="1" s="1"/>
  <c r="H1406" i="1"/>
  <c r="E1406" i="1"/>
  <c r="K1406" i="1" s="1"/>
  <c r="K1405" i="1"/>
  <c r="H1405" i="1"/>
  <c r="E1405" i="1"/>
  <c r="K1404" i="1"/>
  <c r="H1404" i="1"/>
  <c r="E1404" i="1"/>
  <c r="H1403" i="1"/>
  <c r="E1403" i="1"/>
  <c r="K1403" i="1" s="1"/>
  <c r="K1402" i="1"/>
  <c r="K1401" i="1"/>
  <c r="K1400" i="1"/>
  <c r="K1399" i="1"/>
  <c r="K1398" i="1"/>
  <c r="K1397" i="1"/>
  <c r="K1396" i="1"/>
  <c r="K1395" i="1"/>
  <c r="K1394" i="1"/>
  <c r="K1393" i="1"/>
  <c r="K1392" i="1"/>
  <c r="K1391" i="1"/>
  <c r="K1390" i="1"/>
  <c r="K1389" i="1"/>
  <c r="K1388" i="1"/>
  <c r="K1387" i="1"/>
  <c r="K1386" i="1"/>
  <c r="K1385" i="1"/>
  <c r="K1384" i="1"/>
  <c r="K1383" i="1"/>
  <c r="K1382" i="1"/>
  <c r="K1381" i="1"/>
  <c r="K1380" i="1"/>
  <c r="K1379" i="1"/>
  <c r="K1378" i="1"/>
  <c r="K1377" i="1"/>
  <c r="K1376" i="1"/>
  <c r="K1375" i="1"/>
  <c r="K1374" i="1"/>
  <c r="K1373" i="1"/>
  <c r="K1372" i="1"/>
  <c r="K1371" i="1"/>
  <c r="K1370" i="1"/>
  <c r="K1369" i="1"/>
  <c r="K1368" i="1"/>
  <c r="K1367" i="1"/>
  <c r="K1366" i="1"/>
  <c r="K1365" i="1"/>
  <c r="K1364" i="1"/>
  <c r="K1363" i="1"/>
  <c r="K1362" i="1"/>
  <c r="K1361" i="1"/>
  <c r="K1360" i="1"/>
  <c r="K1359" i="1"/>
  <c r="K1358" i="1"/>
  <c r="K1357" i="1"/>
  <c r="K1356" i="1"/>
  <c r="K1355" i="1"/>
  <c r="K1354" i="1"/>
  <c r="K1353" i="1"/>
  <c r="K1352" i="1"/>
  <c r="K1351" i="1"/>
  <c r="K1350" i="1"/>
  <c r="K1349" i="1"/>
  <c r="K1348" i="1"/>
  <c r="K1347" i="1"/>
  <c r="K1346" i="1"/>
  <c r="K1345" i="1"/>
  <c r="K1344" i="1"/>
  <c r="K1343" i="1"/>
  <c r="K1342" i="1"/>
  <c r="K1341" i="1"/>
  <c r="K1340" i="1"/>
  <c r="K1339" i="1"/>
  <c r="K1338" i="1"/>
  <c r="K1337" i="1"/>
  <c r="K1336" i="1"/>
  <c r="K1335" i="1"/>
  <c r="K1334" i="1"/>
  <c r="K1333" i="1"/>
  <c r="K1332" i="1"/>
  <c r="K1331" i="1"/>
  <c r="K1330" i="1"/>
  <c r="K1329" i="1"/>
  <c r="K1328" i="1"/>
  <c r="K1327" i="1"/>
  <c r="K1326" i="1"/>
  <c r="E1325" i="1"/>
  <c r="K1325" i="1" s="1"/>
  <c r="K1324" i="1"/>
  <c r="E1324" i="1"/>
  <c r="E1323" i="1"/>
  <c r="K1323" i="1" s="1"/>
  <c r="K1322" i="1"/>
  <c r="E1322" i="1"/>
  <c r="E1321" i="1"/>
  <c r="K1321" i="1" s="1"/>
  <c r="K1320" i="1"/>
  <c r="E1320" i="1"/>
  <c r="E1319" i="1"/>
  <c r="K1319" i="1" s="1"/>
  <c r="K1318" i="1"/>
  <c r="E1318" i="1"/>
  <c r="E1317" i="1"/>
  <c r="K1317" i="1" s="1"/>
  <c r="K1316" i="1"/>
  <c r="E1316" i="1"/>
  <c r="E1315" i="1"/>
  <c r="K1315" i="1" s="1"/>
  <c r="K1314" i="1"/>
  <c r="E1314" i="1"/>
  <c r="E1313" i="1"/>
  <c r="K1313" i="1" s="1"/>
  <c r="K1312" i="1"/>
  <c r="E1312" i="1"/>
  <c r="K1311" i="1"/>
  <c r="K1310" i="1"/>
  <c r="K1309" i="1"/>
  <c r="K1308" i="1"/>
  <c r="K1307" i="1"/>
  <c r="K1306" i="1"/>
  <c r="K1305" i="1"/>
  <c r="E1304" i="1"/>
  <c r="K1304" i="1" s="1"/>
  <c r="K1303" i="1"/>
  <c r="E1303" i="1"/>
  <c r="K1302" i="1"/>
  <c r="E1301" i="1"/>
  <c r="K1301" i="1" s="1"/>
  <c r="K1300" i="1"/>
  <c r="E1300" i="1"/>
  <c r="E1299" i="1"/>
  <c r="K1299" i="1" s="1"/>
  <c r="K1298" i="1"/>
  <c r="E1298" i="1"/>
  <c r="E1297" i="1"/>
  <c r="K1297" i="1" s="1"/>
  <c r="K1296" i="1"/>
  <c r="E1296" i="1"/>
  <c r="E1295" i="1"/>
  <c r="K1295" i="1" s="1"/>
  <c r="K1294" i="1"/>
  <c r="E1294" i="1"/>
  <c r="E1293" i="1"/>
  <c r="K1293" i="1" s="1"/>
  <c r="K1292" i="1"/>
  <c r="E1292" i="1"/>
  <c r="E1291" i="1"/>
  <c r="K1291" i="1" s="1"/>
  <c r="K1290" i="1"/>
  <c r="E1290" i="1"/>
  <c r="E1289" i="1"/>
  <c r="K1289" i="1" s="1"/>
  <c r="K1288" i="1"/>
  <c r="E1288" i="1"/>
  <c r="E1287" i="1"/>
  <c r="K1287" i="1" s="1"/>
  <c r="K1286" i="1"/>
  <c r="E1286" i="1"/>
  <c r="E1285" i="1"/>
  <c r="K1285" i="1" s="1"/>
  <c r="K1284" i="1"/>
  <c r="E1284" i="1"/>
  <c r="E1283" i="1"/>
  <c r="K1283" i="1" s="1"/>
  <c r="K1282" i="1"/>
  <c r="E1282" i="1"/>
  <c r="E1281" i="1"/>
  <c r="K1281" i="1" s="1"/>
  <c r="K1280" i="1"/>
  <c r="E1280" i="1"/>
  <c r="E1279" i="1"/>
  <c r="K1279" i="1" s="1"/>
  <c r="K1278" i="1"/>
  <c r="E1278" i="1"/>
  <c r="E1277" i="1"/>
  <c r="K1277" i="1" s="1"/>
  <c r="K1276" i="1"/>
  <c r="E1276" i="1"/>
  <c r="E1275" i="1"/>
  <c r="K1275" i="1" s="1"/>
  <c r="K1274" i="1"/>
  <c r="E1274" i="1"/>
  <c r="E1273" i="1"/>
  <c r="K1273" i="1" s="1"/>
  <c r="K1272" i="1"/>
  <c r="E1272" i="1"/>
  <c r="E1271" i="1"/>
  <c r="K1271" i="1" s="1"/>
  <c r="K1270" i="1"/>
  <c r="E1270" i="1"/>
  <c r="E1269" i="1"/>
  <c r="K1269" i="1" s="1"/>
  <c r="E1268" i="1"/>
  <c r="K1268" i="1" s="1"/>
  <c r="E1267" i="1"/>
  <c r="K1267" i="1" s="1"/>
  <c r="E1266" i="1"/>
  <c r="K1266" i="1" s="1"/>
  <c r="E1265" i="1"/>
  <c r="K1265" i="1" s="1"/>
  <c r="E1264" i="1"/>
  <c r="K1264" i="1" s="1"/>
  <c r="E1263" i="1"/>
  <c r="K1263" i="1" s="1"/>
  <c r="E1262" i="1"/>
  <c r="K1262" i="1" s="1"/>
  <c r="E1261" i="1"/>
  <c r="K1261" i="1" s="1"/>
  <c r="E1260" i="1"/>
  <c r="K1260" i="1" s="1"/>
  <c r="E1259" i="1"/>
  <c r="K1259" i="1" s="1"/>
  <c r="E1258" i="1"/>
  <c r="K1258" i="1" s="1"/>
  <c r="E1257" i="1"/>
  <c r="K1257" i="1" s="1"/>
  <c r="E1256" i="1"/>
  <c r="K1256" i="1" s="1"/>
  <c r="E1255" i="1"/>
  <c r="K1255" i="1" s="1"/>
  <c r="E1254" i="1"/>
  <c r="K1254" i="1" s="1"/>
  <c r="E1253" i="1"/>
  <c r="K1253" i="1" s="1"/>
  <c r="E1252" i="1"/>
  <c r="K1252" i="1" s="1"/>
  <c r="E1251" i="1"/>
  <c r="K1251" i="1" s="1"/>
  <c r="E1250" i="1"/>
  <c r="K1250" i="1" s="1"/>
  <c r="E1249" i="1"/>
  <c r="K1249" i="1" s="1"/>
  <c r="E1248" i="1"/>
  <c r="K1248" i="1" s="1"/>
  <c r="K1247" i="1"/>
  <c r="K1246" i="1"/>
  <c r="K1245" i="1"/>
  <c r="K1244" i="1"/>
  <c r="E1243" i="1"/>
  <c r="K1243" i="1" s="1"/>
  <c r="K1242" i="1"/>
  <c r="K1241" i="1"/>
  <c r="K1240" i="1"/>
  <c r="K1239" i="1"/>
  <c r="K1238" i="1"/>
  <c r="K1237" i="1"/>
  <c r="E1236" i="1"/>
  <c r="K1236" i="1" s="1"/>
  <c r="K1235" i="1"/>
  <c r="E1235" i="1"/>
  <c r="E1234" i="1"/>
  <c r="K1234" i="1" s="1"/>
  <c r="E1233" i="1"/>
  <c r="K1233" i="1" s="1"/>
  <c r="E1232" i="1"/>
  <c r="K1232" i="1" s="1"/>
  <c r="K1231" i="1"/>
  <c r="E1231" i="1"/>
  <c r="E1230" i="1"/>
  <c r="K1230" i="1" s="1"/>
  <c r="E1229" i="1"/>
  <c r="K1229" i="1" s="1"/>
  <c r="K1228" i="1"/>
  <c r="K1227" i="1"/>
  <c r="K1226" i="1"/>
  <c r="K1225" i="1"/>
  <c r="K1224" i="1"/>
  <c r="K1223" i="1"/>
  <c r="K1222" i="1"/>
  <c r="K1221" i="1"/>
  <c r="K1220" i="1"/>
  <c r="K1219" i="1"/>
  <c r="K1218" i="1"/>
  <c r="K1217" i="1"/>
  <c r="K1216" i="1"/>
  <c r="K1215" i="1"/>
  <c r="K1214" i="1"/>
  <c r="K1213" i="1"/>
  <c r="K1212" i="1"/>
  <c r="K1211" i="1"/>
  <c r="K1210" i="1"/>
  <c r="K1209" i="1"/>
  <c r="K1208" i="1"/>
  <c r="K1207" i="1"/>
  <c r="K1206" i="1"/>
  <c r="K1205" i="1"/>
  <c r="K1204" i="1"/>
  <c r="K1203" i="1"/>
  <c r="K1202" i="1"/>
  <c r="K1201" i="1"/>
  <c r="K1200" i="1"/>
  <c r="K1199" i="1"/>
  <c r="K1198" i="1"/>
  <c r="K1197" i="1"/>
  <c r="K1196" i="1"/>
  <c r="K1195" i="1"/>
  <c r="K1194" i="1"/>
  <c r="K1193" i="1"/>
  <c r="K1192" i="1"/>
  <c r="K1191" i="1"/>
  <c r="K1190" i="1"/>
  <c r="K1189" i="1"/>
  <c r="K1188" i="1"/>
  <c r="K1187" i="1"/>
  <c r="K1186" i="1"/>
  <c r="K1185" i="1"/>
  <c r="K1184" i="1"/>
  <c r="K1183" i="1"/>
  <c r="K1182" i="1"/>
  <c r="K1181" i="1"/>
  <c r="H1180" i="1"/>
  <c r="K1180" i="1" s="1"/>
  <c r="H1179" i="1"/>
  <c r="K1179" i="1" s="1"/>
  <c r="H1178" i="1"/>
  <c r="K1178" i="1" s="1"/>
  <c r="H1177" i="1"/>
  <c r="K1177" i="1" s="1"/>
  <c r="E1176" i="1"/>
  <c r="K1176" i="1" s="1"/>
  <c r="E1175" i="1"/>
  <c r="K1175" i="1" s="1"/>
  <c r="E1174" i="1"/>
  <c r="K1174" i="1" s="1"/>
  <c r="E1173" i="1"/>
  <c r="K1173" i="1" s="1"/>
  <c r="E1172" i="1"/>
  <c r="K1172" i="1" s="1"/>
  <c r="E1171" i="1"/>
  <c r="K1171" i="1" s="1"/>
  <c r="E1170" i="1"/>
  <c r="K1170" i="1" s="1"/>
  <c r="E1169" i="1"/>
  <c r="K1169" i="1" s="1"/>
  <c r="E1168" i="1"/>
  <c r="K1168" i="1" s="1"/>
  <c r="E1167" i="1"/>
  <c r="K1167" i="1" s="1"/>
  <c r="E1166" i="1"/>
  <c r="K1166" i="1" s="1"/>
  <c r="E1165" i="1"/>
  <c r="K1165" i="1" s="1"/>
  <c r="E1164" i="1"/>
  <c r="K1164" i="1" s="1"/>
  <c r="E1163" i="1"/>
  <c r="K1163" i="1" s="1"/>
  <c r="E1162" i="1"/>
  <c r="K1162" i="1" s="1"/>
  <c r="E1161" i="1"/>
  <c r="K1161" i="1" s="1"/>
  <c r="E1160" i="1"/>
  <c r="K1160" i="1" s="1"/>
  <c r="E1159" i="1"/>
  <c r="K1159" i="1" s="1"/>
  <c r="E1158" i="1"/>
  <c r="K1158" i="1" s="1"/>
  <c r="E1157" i="1"/>
  <c r="K1157" i="1" s="1"/>
  <c r="E1156" i="1"/>
  <c r="K1156" i="1" s="1"/>
  <c r="E1155" i="1"/>
  <c r="K1155" i="1" s="1"/>
  <c r="E1154" i="1"/>
  <c r="K1154" i="1" s="1"/>
  <c r="E1153" i="1"/>
  <c r="K1153" i="1" s="1"/>
  <c r="E1152" i="1"/>
  <c r="K1152" i="1" s="1"/>
  <c r="E1151" i="1"/>
  <c r="K1151" i="1" s="1"/>
  <c r="E1150" i="1"/>
  <c r="K1150" i="1" s="1"/>
  <c r="E1149" i="1"/>
  <c r="K1149" i="1" s="1"/>
  <c r="E1148" i="1"/>
  <c r="K1148" i="1" s="1"/>
  <c r="E1147" i="1"/>
  <c r="K1147" i="1" s="1"/>
  <c r="E1146" i="1"/>
  <c r="K1146" i="1" s="1"/>
  <c r="E1145" i="1"/>
  <c r="K1145" i="1" s="1"/>
  <c r="E1144" i="1"/>
  <c r="K1144" i="1" s="1"/>
  <c r="E1143" i="1"/>
  <c r="K1143" i="1" s="1"/>
  <c r="E1142" i="1"/>
  <c r="K1142" i="1" s="1"/>
  <c r="E1141" i="1"/>
  <c r="K1141" i="1" s="1"/>
  <c r="E1140" i="1"/>
  <c r="K1140" i="1" s="1"/>
  <c r="E1139" i="1"/>
  <c r="K1139" i="1" s="1"/>
  <c r="E1138" i="1"/>
  <c r="K1138" i="1" s="1"/>
  <c r="E1137" i="1"/>
  <c r="K1137" i="1" s="1"/>
  <c r="E1136" i="1"/>
  <c r="K1136" i="1" s="1"/>
  <c r="E1135" i="1"/>
  <c r="K1135" i="1" s="1"/>
  <c r="E1134" i="1"/>
  <c r="K1134" i="1" s="1"/>
  <c r="E1133" i="1"/>
  <c r="K1133" i="1" s="1"/>
  <c r="E1132" i="1"/>
  <c r="K1132" i="1" s="1"/>
  <c r="E1131" i="1"/>
  <c r="K1131" i="1" s="1"/>
  <c r="E1130" i="1"/>
  <c r="K1130" i="1" s="1"/>
  <c r="E1129" i="1"/>
  <c r="K1129" i="1" s="1"/>
  <c r="E1128" i="1"/>
  <c r="K1128" i="1" s="1"/>
  <c r="K1127" i="1"/>
  <c r="K1126" i="1"/>
  <c r="K1125" i="1"/>
  <c r="K1124" i="1"/>
  <c r="K1123" i="1"/>
  <c r="K1122" i="1"/>
  <c r="H1122" i="1"/>
  <c r="K1121" i="1"/>
  <c r="K1120" i="1"/>
  <c r="K1119" i="1"/>
  <c r="K1118" i="1"/>
  <c r="K1117" i="1"/>
  <c r="G1116" i="1"/>
  <c r="E1116" i="1"/>
  <c r="G1115" i="1"/>
  <c r="E1115" i="1"/>
  <c r="K1115" i="1" s="1"/>
  <c r="G1114" i="1"/>
  <c r="K1114" i="1" s="1"/>
  <c r="E1114" i="1"/>
  <c r="K1113" i="1"/>
  <c r="G1113" i="1"/>
  <c r="E1113" i="1"/>
  <c r="G1112" i="1"/>
  <c r="E1112" i="1"/>
  <c r="K1112" i="1" s="1"/>
  <c r="G1111" i="1"/>
  <c r="E1111" i="1"/>
  <c r="K1111" i="1" s="1"/>
  <c r="G1110" i="1"/>
  <c r="K1110" i="1" s="1"/>
  <c r="G1109" i="1"/>
  <c r="K1109" i="1" s="1"/>
  <c r="G1108" i="1"/>
  <c r="K1108" i="1" s="1"/>
  <c r="G1107" i="1"/>
  <c r="K1107" i="1" s="1"/>
  <c r="G1106" i="1"/>
  <c r="K1106" i="1" s="1"/>
  <c r="G1105" i="1"/>
  <c r="K1105" i="1" s="1"/>
  <c r="K1104" i="1"/>
  <c r="K1103" i="1"/>
  <c r="K1102" i="1"/>
  <c r="K1101" i="1"/>
  <c r="K1100" i="1"/>
  <c r="K1099" i="1"/>
  <c r="K1098" i="1"/>
  <c r="K1097" i="1"/>
  <c r="K1096" i="1"/>
  <c r="K1095" i="1"/>
  <c r="K1094" i="1"/>
  <c r="K1093" i="1"/>
  <c r="G1093" i="1"/>
  <c r="E1093" i="1"/>
  <c r="G1092" i="1"/>
  <c r="E1092" i="1"/>
  <c r="K1092" i="1" s="1"/>
  <c r="G1091" i="1"/>
  <c r="E1091" i="1"/>
  <c r="K1091" i="1" s="1"/>
  <c r="G1090" i="1"/>
  <c r="K1090" i="1" s="1"/>
  <c r="E1090" i="1"/>
  <c r="K1089" i="1"/>
  <c r="G1089" i="1"/>
  <c r="E1089" i="1"/>
  <c r="G1088" i="1"/>
  <c r="E1088" i="1"/>
  <c r="K1088" i="1" s="1"/>
  <c r="G1087" i="1"/>
  <c r="E1087" i="1"/>
  <c r="K1087" i="1" s="1"/>
  <c r="G1086" i="1"/>
  <c r="K1086" i="1" s="1"/>
  <c r="E1086" i="1"/>
  <c r="K1085" i="1"/>
  <c r="G1085" i="1"/>
  <c r="E1085" i="1"/>
  <c r="G1084" i="1"/>
  <c r="E1084" i="1"/>
  <c r="K1084" i="1" s="1"/>
  <c r="G1083" i="1"/>
  <c r="E1083" i="1"/>
  <c r="K1083" i="1" s="1"/>
  <c r="G1082" i="1"/>
  <c r="K1082" i="1" s="1"/>
  <c r="E1082" i="1"/>
  <c r="K1081" i="1"/>
  <c r="E1081" i="1"/>
  <c r="K1080" i="1"/>
  <c r="E1080" i="1"/>
  <c r="K1079" i="1"/>
  <c r="G1079" i="1"/>
  <c r="E1079" i="1"/>
  <c r="G1078" i="1"/>
  <c r="E1078" i="1"/>
  <c r="G1077" i="1"/>
  <c r="E1077" i="1"/>
  <c r="K1077" i="1" s="1"/>
  <c r="G1076" i="1"/>
  <c r="K1076" i="1" s="1"/>
  <c r="E1076" i="1"/>
  <c r="K1075" i="1"/>
  <c r="G1075" i="1"/>
  <c r="E1075" i="1"/>
  <c r="G1074" i="1"/>
  <c r="E1074" i="1"/>
  <c r="K1074" i="1" s="1"/>
  <c r="G1073" i="1"/>
  <c r="E1073" i="1"/>
  <c r="K1073" i="1" s="1"/>
  <c r="G1072" i="1"/>
  <c r="K1072" i="1" s="1"/>
  <c r="E1072" i="1"/>
  <c r="K1071" i="1"/>
  <c r="G1071" i="1"/>
  <c r="E1071" i="1"/>
  <c r="G1070" i="1"/>
  <c r="E1070" i="1"/>
  <c r="K1070" i="1" s="1"/>
  <c r="G1069" i="1"/>
  <c r="E1069" i="1"/>
  <c r="K1069" i="1" s="1"/>
  <c r="G1068" i="1"/>
  <c r="K1068" i="1" s="1"/>
  <c r="E1068" i="1"/>
  <c r="K1067" i="1"/>
  <c r="G1067" i="1"/>
  <c r="E1067" i="1"/>
  <c r="G1066" i="1"/>
  <c r="E1066" i="1"/>
  <c r="K1066" i="1" s="1"/>
  <c r="G1065" i="1"/>
  <c r="E1065" i="1"/>
  <c r="K1065" i="1" s="1"/>
  <c r="G1064" i="1"/>
  <c r="K1064" i="1" s="1"/>
  <c r="E1064" i="1"/>
  <c r="K1063" i="1"/>
  <c r="H1062" i="1"/>
  <c r="G1062" i="1"/>
  <c r="E1062" i="1"/>
  <c r="K1062" i="1" s="1"/>
  <c r="H1061" i="1"/>
  <c r="G1061" i="1"/>
  <c r="E1061" i="1"/>
  <c r="K1061" i="1" s="1"/>
  <c r="H1060" i="1"/>
  <c r="G1060" i="1"/>
  <c r="E1060" i="1"/>
  <c r="K1060" i="1" s="1"/>
  <c r="H1059" i="1"/>
  <c r="G1059" i="1"/>
  <c r="E1059" i="1"/>
  <c r="K1059" i="1" s="1"/>
  <c r="H1058" i="1"/>
  <c r="G1058" i="1"/>
  <c r="E1058" i="1"/>
  <c r="K1058" i="1" s="1"/>
  <c r="H1057" i="1"/>
  <c r="G1057" i="1"/>
  <c r="E1057" i="1"/>
  <c r="K1057" i="1" s="1"/>
  <c r="H1056" i="1"/>
  <c r="G1056" i="1"/>
  <c r="E1056" i="1"/>
  <c r="K1056" i="1" s="1"/>
  <c r="H1055" i="1"/>
  <c r="G1055" i="1"/>
  <c r="E1055" i="1"/>
  <c r="K1055" i="1" s="1"/>
  <c r="H1054" i="1"/>
  <c r="G1054" i="1"/>
  <c r="E1054" i="1"/>
  <c r="K1054" i="1" s="1"/>
  <c r="H1053" i="1"/>
  <c r="G1053" i="1"/>
  <c r="E1053" i="1"/>
  <c r="K1053" i="1" s="1"/>
  <c r="H1052" i="1"/>
  <c r="G1052" i="1"/>
  <c r="E1052" i="1"/>
  <c r="K1052" i="1" s="1"/>
  <c r="H1051" i="1"/>
  <c r="G1051" i="1"/>
  <c r="E1051" i="1"/>
  <c r="K1051" i="1" s="1"/>
  <c r="H1050" i="1"/>
  <c r="G1050" i="1"/>
  <c r="E1050" i="1"/>
  <c r="K1050" i="1" s="1"/>
  <c r="H1049" i="1"/>
  <c r="G1049" i="1"/>
  <c r="E1049" i="1"/>
  <c r="K1049" i="1" s="1"/>
  <c r="H1048" i="1"/>
  <c r="G1048" i="1"/>
  <c r="E1048" i="1"/>
  <c r="K1048" i="1" s="1"/>
  <c r="H1047" i="1"/>
  <c r="G1047" i="1"/>
  <c r="E1047" i="1"/>
  <c r="K1047" i="1" s="1"/>
  <c r="H1046" i="1"/>
  <c r="G1046" i="1"/>
  <c r="E1046" i="1"/>
  <c r="K1046" i="1" s="1"/>
  <c r="H1045" i="1"/>
  <c r="G1045" i="1"/>
  <c r="E1045" i="1"/>
  <c r="K1045" i="1" s="1"/>
  <c r="H1044" i="1"/>
  <c r="G1044" i="1"/>
  <c r="E1044" i="1"/>
  <c r="K1044" i="1" s="1"/>
  <c r="H1043" i="1"/>
  <c r="G1043" i="1"/>
  <c r="E1043" i="1"/>
  <c r="K1043" i="1" s="1"/>
  <c r="H1042" i="1"/>
  <c r="G1042" i="1"/>
  <c r="E1042" i="1"/>
  <c r="K1042" i="1" s="1"/>
  <c r="H1041" i="1"/>
  <c r="G1041" i="1"/>
  <c r="E1041" i="1"/>
  <c r="K1041" i="1" s="1"/>
  <c r="H1040" i="1"/>
  <c r="G1040" i="1"/>
  <c r="E1040" i="1"/>
  <c r="K1040" i="1" s="1"/>
  <c r="H1039" i="1"/>
  <c r="G1039" i="1"/>
  <c r="E1039" i="1"/>
  <c r="K1039" i="1" s="1"/>
  <c r="H1038" i="1"/>
  <c r="G1038" i="1"/>
  <c r="E1038" i="1"/>
  <c r="K1038" i="1" s="1"/>
  <c r="H1037" i="1"/>
  <c r="G1037" i="1"/>
  <c r="E1037" i="1"/>
  <c r="K1037" i="1" s="1"/>
  <c r="H1036" i="1"/>
  <c r="G1036" i="1"/>
  <c r="E1036" i="1"/>
  <c r="K1036" i="1" s="1"/>
  <c r="H1035" i="1"/>
  <c r="G1035" i="1"/>
  <c r="E1035" i="1"/>
  <c r="K1035" i="1" s="1"/>
  <c r="K1034" i="1"/>
  <c r="K1033" i="1"/>
  <c r="K1032" i="1"/>
  <c r="K1031" i="1"/>
  <c r="K1030" i="1"/>
  <c r="K1029" i="1"/>
  <c r="K1028" i="1"/>
  <c r="K1027" i="1"/>
  <c r="K1026" i="1"/>
  <c r="K1025" i="1"/>
  <c r="H1024" i="1"/>
  <c r="F1024" i="1"/>
  <c r="H1023" i="1"/>
  <c r="F1023" i="1"/>
  <c r="K1023" i="1" s="1"/>
  <c r="H1022" i="1"/>
  <c r="K1022" i="1" s="1"/>
  <c r="F1022" i="1"/>
  <c r="K1021" i="1"/>
  <c r="H1021" i="1"/>
  <c r="F1021" i="1"/>
  <c r="H1020" i="1"/>
  <c r="F1020" i="1"/>
  <c r="K1020" i="1" s="1"/>
  <c r="H1019" i="1"/>
  <c r="F1019" i="1"/>
  <c r="K1019" i="1" s="1"/>
  <c r="H1018" i="1"/>
  <c r="K1018" i="1" s="1"/>
  <c r="F1018" i="1"/>
  <c r="K1017" i="1"/>
  <c r="H1017" i="1"/>
  <c r="F1017" i="1"/>
  <c r="H1016" i="1"/>
  <c r="F1016" i="1"/>
  <c r="K1016" i="1" s="1"/>
  <c r="H1015" i="1"/>
  <c r="F1015" i="1"/>
  <c r="K1015" i="1" s="1"/>
  <c r="H1014" i="1"/>
  <c r="K1014" i="1" s="1"/>
  <c r="F1014" i="1"/>
  <c r="K1013" i="1"/>
  <c r="H1013" i="1"/>
  <c r="F1013" i="1"/>
  <c r="H1012" i="1"/>
  <c r="F1012" i="1"/>
  <c r="K1012" i="1" s="1"/>
  <c r="H1011" i="1"/>
  <c r="F1011" i="1"/>
  <c r="K1011" i="1" s="1"/>
  <c r="H1010" i="1"/>
  <c r="K1010" i="1" s="1"/>
  <c r="F1010" i="1"/>
  <c r="K1009" i="1"/>
  <c r="F1009" i="1"/>
  <c r="K1008" i="1"/>
  <c r="E1008" i="1"/>
  <c r="K1007" i="1"/>
  <c r="E1007" i="1"/>
  <c r="K1006" i="1"/>
  <c r="E1006" i="1"/>
  <c r="K1005" i="1"/>
  <c r="E1005" i="1"/>
  <c r="K1004" i="1"/>
  <c r="E1004" i="1"/>
  <c r="K1003" i="1"/>
  <c r="E1003" i="1"/>
  <c r="K1002" i="1"/>
  <c r="K1001" i="1"/>
  <c r="K1000" i="1"/>
  <c r="K999" i="1"/>
  <c r="K998" i="1"/>
  <c r="K997" i="1"/>
  <c r="K996" i="1"/>
  <c r="K995" i="1"/>
  <c r="K994" i="1"/>
  <c r="K993" i="1"/>
  <c r="K992" i="1"/>
  <c r="K991" i="1"/>
  <c r="K990" i="1"/>
  <c r="K989" i="1"/>
  <c r="K988" i="1"/>
  <c r="K987" i="1"/>
  <c r="K986" i="1"/>
  <c r="K985" i="1"/>
  <c r="K984" i="1"/>
  <c r="K983" i="1"/>
  <c r="K982" i="1"/>
  <c r="K981" i="1"/>
  <c r="K980" i="1"/>
  <c r="K979" i="1"/>
  <c r="K978" i="1"/>
  <c r="K977" i="1"/>
  <c r="K976" i="1"/>
  <c r="K975" i="1"/>
  <c r="K974" i="1"/>
  <c r="E974" i="1"/>
  <c r="K973" i="1"/>
  <c r="E973" i="1"/>
  <c r="K972" i="1"/>
  <c r="E972" i="1"/>
  <c r="K971" i="1"/>
  <c r="E971" i="1"/>
  <c r="K970" i="1"/>
  <c r="E970" i="1"/>
  <c r="K969" i="1"/>
  <c r="E969" i="1"/>
  <c r="K968" i="1"/>
  <c r="E968" i="1"/>
  <c r="K967" i="1"/>
  <c r="E967" i="1"/>
  <c r="K966" i="1"/>
  <c r="K965" i="1"/>
  <c r="K964" i="1"/>
  <c r="K963" i="1"/>
  <c r="K962" i="1"/>
  <c r="K961" i="1"/>
  <c r="K960" i="1"/>
  <c r="K959" i="1"/>
  <c r="K958" i="1"/>
  <c r="K957" i="1"/>
  <c r="K956" i="1"/>
  <c r="K955" i="1"/>
  <c r="K954" i="1"/>
  <c r="K953" i="1"/>
  <c r="K952" i="1"/>
  <c r="K951" i="1"/>
  <c r="K950" i="1"/>
  <c r="K949" i="1"/>
  <c r="K948" i="1"/>
  <c r="K947" i="1"/>
  <c r="K946" i="1"/>
  <c r="K945" i="1"/>
  <c r="K944" i="1"/>
  <c r="K943" i="1"/>
  <c r="K942" i="1"/>
  <c r="K941" i="1"/>
  <c r="K940" i="1"/>
  <c r="K939" i="1"/>
  <c r="K938" i="1"/>
  <c r="K937" i="1"/>
  <c r="K936" i="1"/>
  <c r="K935" i="1"/>
  <c r="K934" i="1"/>
  <c r="H933" i="1"/>
  <c r="G933" i="1"/>
  <c r="F933" i="1"/>
  <c r="H932" i="1"/>
  <c r="F932" i="1"/>
  <c r="K932" i="1" s="1"/>
  <c r="H931" i="1"/>
  <c r="F931" i="1"/>
  <c r="K931" i="1" s="1"/>
  <c r="H930" i="1"/>
  <c r="K930" i="1" s="1"/>
  <c r="F930" i="1"/>
  <c r="K929" i="1"/>
  <c r="H929" i="1"/>
  <c r="F929" i="1"/>
  <c r="H928" i="1"/>
  <c r="F928" i="1"/>
  <c r="H927" i="1"/>
  <c r="F927" i="1"/>
  <c r="K927" i="1" s="1"/>
  <c r="H926" i="1"/>
  <c r="K926" i="1" s="1"/>
  <c r="F926" i="1"/>
  <c r="K925" i="1"/>
  <c r="H925" i="1"/>
  <c r="F925" i="1"/>
  <c r="H924" i="1"/>
  <c r="F924" i="1"/>
  <c r="K924" i="1" s="1"/>
  <c r="H923" i="1"/>
  <c r="F923" i="1"/>
  <c r="K923" i="1" s="1"/>
  <c r="H922" i="1"/>
  <c r="K922" i="1" s="1"/>
  <c r="F922" i="1"/>
  <c r="K921" i="1"/>
  <c r="H921" i="1"/>
  <c r="F921" i="1"/>
  <c r="H920" i="1"/>
  <c r="F920" i="1"/>
  <c r="K920" i="1" s="1"/>
  <c r="K919" i="1"/>
  <c r="H919" i="1"/>
  <c r="F919" i="1"/>
  <c r="H918" i="1"/>
  <c r="K918" i="1" s="1"/>
  <c r="F918" i="1"/>
  <c r="H917" i="1"/>
  <c r="G917" i="1"/>
  <c r="K917" i="1" s="1"/>
  <c r="F917" i="1"/>
  <c r="H916" i="1"/>
  <c r="G916" i="1"/>
  <c r="K916" i="1" s="1"/>
  <c r="F916" i="1"/>
  <c r="H915" i="1"/>
  <c r="G915" i="1"/>
  <c r="K915" i="1" s="1"/>
  <c r="F915" i="1"/>
  <c r="H914" i="1"/>
  <c r="G914" i="1"/>
  <c r="K914" i="1" s="1"/>
  <c r="F914" i="1"/>
  <c r="H913" i="1"/>
  <c r="G913" i="1"/>
  <c r="K913" i="1" s="1"/>
  <c r="F913" i="1"/>
  <c r="K912" i="1"/>
  <c r="K911" i="1"/>
  <c r="K910" i="1"/>
  <c r="K909" i="1"/>
  <c r="K908" i="1"/>
  <c r="K907" i="1"/>
  <c r="K906" i="1"/>
  <c r="K905" i="1"/>
  <c r="K904" i="1"/>
  <c r="K903" i="1"/>
  <c r="K902" i="1"/>
  <c r="K901" i="1"/>
  <c r="K900" i="1"/>
  <c r="K899" i="1"/>
  <c r="K898" i="1"/>
  <c r="K897" i="1"/>
  <c r="K896" i="1"/>
  <c r="K895" i="1"/>
  <c r="K894" i="1"/>
  <c r="K893" i="1"/>
  <c r="K892" i="1"/>
  <c r="K891" i="1"/>
  <c r="K890" i="1"/>
  <c r="K889" i="1"/>
  <c r="K888" i="1"/>
  <c r="K887" i="1"/>
  <c r="K886" i="1"/>
  <c r="K885" i="1"/>
  <c r="K884" i="1"/>
  <c r="K883" i="1"/>
  <c r="K882" i="1"/>
  <c r="E882" i="1"/>
  <c r="K881" i="1"/>
  <c r="E881" i="1"/>
  <c r="K880" i="1"/>
  <c r="E880" i="1"/>
  <c r="K879" i="1"/>
  <c r="E879" i="1"/>
  <c r="K878" i="1"/>
  <c r="E878" i="1"/>
  <c r="K877" i="1"/>
  <c r="E877" i="1"/>
  <c r="K876" i="1"/>
  <c r="E876" i="1"/>
  <c r="K875" i="1"/>
  <c r="E875" i="1"/>
  <c r="K874" i="1"/>
  <c r="E874" i="1"/>
  <c r="K873" i="1"/>
  <c r="E873" i="1"/>
  <c r="K872" i="1"/>
  <c r="E872" i="1"/>
  <c r="K871" i="1"/>
  <c r="E871" i="1"/>
  <c r="K870" i="1"/>
  <c r="E870" i="1"/>
  <c r="K869" i="1"/>
  <c r="E869" i="1"/>
  <c r="K868" i="1"/>
  <c r="K867" i="1"/>
  <c r="K866" i="1"/>
  <c r="E865" i="1"/>
  <c r="K865" i="1" s="1"/>
  <c r="E864" i="1"/>
  <c r="K864" i="1" s="1"/>
  <c r="K863" i="1"/>
  <c r="K862" i="1"/>
  <c r="E861" i="1"/>
  <c r="K861" i="1" s="1"/>
  <c r="E860" i="1"/>
  <c r="K860" i="1" s="1"/>
  <c r="E859" i="1"/>
  <c r="K859" i="1" s="1"/>
  <c r="E858" i="1"/>
  <c r="K858" i="1" s="1"/>
  <c r="E857" i="1"/>
  <c r="K857" i="1" s="1"/>
  <c r="E856" i="1"/>
  <c r="K856" i="1" s="1"/>
  <c r="E855" i="1"/>
  <c r="K855" i="1" s="1"/>
  <c r="E854" i="1"/>
  <c r="K854" i="1" s="1"/>
  <c r="E853" i="1"/>
  <c r="K853" i="1" s="1"/>
  <c r="K852" i="1"/>
  <c r="K851" i="1"/>
  <c r="K850" i="1"/>
  <c r="K849" i="1"/>
  <c r="K848" i="1"/>
  <c r="K847" i="1"/>
  <c r="K846" i="1"/>
  <c r="K845" i="1"/>
  <c r="K844" i="1"/>
  <c r="K843" i="1"/>
  <c r="K842" i="1"/>
  <c r="K841" i="1"/>
  <c r="K840" i="1"/>
  <c r="K839" i="1"/>
  <c r="K838" i="1"/>
  <c r="K837" i="1"/>
  <c r="K836" i="1"/>
  <c r="K835" i="1"/>
  <c r="K834" i="1"/>
  <c r="K833" i="1"/>
  <c r="E833" i="1"/>
  <c r="E832" i="1"/>
  <c r="K832" i="1" s="1"/>
  <c r="K831" i="1"/>
  <c r="E831" i="1"/>
  <c r="E830" i="1"/>
  <c r="K830" i="1" s="1"/>
  <c r="K829" i="1"/>
  <c r="E828" i="1"/>
  <c r="K828" i="1" s="1"/>
  <c r="E827" i="1"/>
  <c r="K827" i="1" s="1"/>
  <c r="E826" i="1"/>
  <c r="K826" i="1" s="1"/>
  <c r="E825" i="1"/>
  <c r="K825" i="1" s="1"/>
  <c r="E824" i="1"/>
  <c r="K824" i="1" s="1"/>
  <c r="E823" i="1"/>
  <c r="K823" i="1" s="1"/>
  <c r="E822" i="1"/>
  <c r="K822" i="1" s="1"/>
  <c r="E821" i="1"/>
  <c r="K821" i="1" s="1"/>
  <c r="E820" i="1"/>
  <c r="K820" i="1" s="1"/>
  <c r="E819" i="1"/>
  <c r="K819" i="1" s="1"/>
  <c r="E818" i="1"/>
  <c r="K818" i="1" s="1"/>
  <c r="E817" i="1"/>
  <c r="K817" i="1" s="1"/>
  <c r="E816" i="1"/>
  <c r="K816" i="1" s="1"/>
  <c r="E815" i="1"/>
  <c r="K815" i="1" s="1"/>
  <c r="K814" i="1"/>
  <c r="K813" i="1"/>
  <c r="K812" i="1"/>
  <c r="K811" i="1"/>
  <c r="K810" i="1"/>
  <c r="K809" i="1"/>
  <c r="H808" i="1"/>
  <c r="K808" i="1" s="1"/>
  <c r="E808" i="1"/>
  <c r="E807" i="1"/>
  <c r="K807" i="1" s="1"/>
  <c r="K806" i="1"/>
  <c r="E806" i="1"/>
  <c r="E805" i="1"/>
  <c r="K805" i="1" s="1"/>
  <c r="K804" i="1"/>
  <c r="E804" i="1"/>
  <c r="E803" i="1"/>
  <c r="K803" i="1" s="1"/>
  <c r="K802" i="1"/>
  <c r="E802" i="1"/>
  <c r="E801" i="1"/>
  <c r="K801" i="1" s="1"/>
  <c r="K800" i="1"/>
  <c r="E800" i="1"/>
  <c r="E799" i="1"/>
  <c r="K799" i="1" s="1"/>
  <c r="K798" i="1"/>
  <c r="E798" i="1"/>
  <c r="E797" i="1"/>
  <c r="K797" i="1" s="1"/>
  <c r="K796" i="1"/>
  <c r="E796" i="1"/>
  <c r="E795" i="1"/>
  <c r="K795" i="1" s="1"/>
  <c r="K794" i="1"/>
  <c r="E794" i="1"/>
  <c r="E793" i="1"/>
  <c r="K793" i="1" s="1"/>
  <c r="K792" i="1"/>
  <c r="E792" i="1"/>
  <c r="E791" i="1"/>
  <c r="K791" i="1" s="1"/>
  <c r="K790" i="1"/>
  <c r="E790" i="1"/>
  <c r="E789" i="1"/>
  <c r="K789" i="1" s="1"/>
  <c r="K788" i="1"/>
  <c r="E788" i="1"/>
  <c r="E787" i="1"/>
  <c r="K787" i="1" s="1"/>
  <c r="K786" i="1"/>
  <c r="E786" i="1"/>
  <c r="E785" i="1"/>
  <c r="K785" i="1" s="1"/>
  <c r="K784" i="1"/>
  <c r="E784" i="1"/>
  <c r="E783" i="1"/>
  <c r="K783" i="1" s="1"/>
  <c r="K782" i="1"/>
  <c r="E782" i="1"/>
  <c r="E781" i="1"/>
  <c r="K781" i="1" s="1"/>
  <c r="K780" i="1"/>
  <c r="E780" i="1"/>
  <c r="E779" i="1"/>
  <c r="K779" i="1" s="1"/>
  <c r="K778" i="1"/>
  <c r="E778" i="1"/>
  <c r="E777" i="1"/>
  <c r="K777" i="1" s="1"/>
  <c r="K776" i="1"/>
  <c r="E776" i="1"/>
  <c r="E775" i="1"/>
  <c r="K775" i="1" s="1"/>
  <c r="K774" i="1"/>
  <c r="E774" i="1"/>
  <c r="E773" i="1"/>
  <c r="K773" i="1" s="1"/>
  <c r="K772" i="1"/>
  <c r="E772" i="1"/>
  <c r="E771" i="1"/>
  <c r="K771" i="1" s="1"/>
  <c r="K770" i="1"/>
  <c r="E770" i="1"/>
  <c r="E769" i="1"/>
  <c r="K769" i="1" s="1"/>
  <c r="K768" i="1"/>
  <c r="E768" i="1"/>
  <c r="E767" i="1"/>
  <c r="K767" i="1" s="1"/>
  <c r="K766" i="1"/>
  <c r="E766" i="1"/>
  <c r="E765" i="1"/>
  <c r="K765" i="1" s="1"/>
  <c r="K764" i="1"/>
  <c r="E764" i="1"/>
  <c r="K763" i="1"/>
  <c r="K762" i="1"/>
  <c r="K761" i="1"/>
  <c r="K760" i="1"/>
  <c r="K759" i="1"/>
  <c r="K758" i="1"/>
  <c r="K757" i="1"/>
  <c r="K756" i="1"/>
  <c r="K755" i="1"/>
  <c r="K754" i="1"/>
  <c r="K753" i="1"/>
  <c r="K752" i="1"/>
  <c r="K751" i="1"/>
  <c r="K750" i="1"/>
  <c r="K749" i="1"/>
  <c r="K748" i="1"/>
  <c r="K747" i="1"/>
  <c r="K746" i="1"/>
  <c r="K745" i="1"/>
  <c r="K744" i="1"/>
  <c r="K743" i="1"/>
  <c r="K742" i="1"/>
  <c r="K741" i="1"/>
  <c r="K740" i="1"/>
  <c r="K739" i="1"/>
  <c r="H738" i="1"/>
  <c r="G738" i="1"/>
  <c r="F738" i="1"/>
  <c r="E738" i="1"/>
  <c r="H737" i="1"/>
  <c r="G737" i="1"/>
  <c r="F737" i="1"/>
  <c r="E737" i="1"/>
  <c r="K737" i="1" s="1"/>
  <c r="H736" i="1"/>
  <c r="G736" i="1"/>
  <c r="F736" i="1"/>
  <c r="E736" i="1"/>
  <c r="K736" i="1" s="1"/>
  <c r="H735" i="1"/>
  <c r="G735" i="1"/>
  <c r="F735" i="1"/>
  <c r="E735" i="1"/>
  <c r="K735" i="1" s="1"/>
  <c r="K734" i="1"/>
  <c r="H733" i="1"/>
  <c r="G733" i="1"/>
  <c r="F733" i="1"/>
  <c r="E733" i="1"/>
  <c r="K733" i="1" s="1"/>
  <c r="H732" i="1"/>
  <c r="G732" i="1"/>
  <c r="F732" i="1"/>
  <c r="E732" i="1"/>
  <c r="K732" i="1" s="1"/>
  <c r="H731" i="1"/>
  <c r="G731" i="1"/>
  <c r="F731" i="1"/>
  <c r="E731" i="1"/>
  <c r="H730" i="1"/>
  <c r="G730" i="1"/>
  <c r="F730" i="1"/>
  <c r="E730" i="1"/>
  <c r="H729" i="1"/>
  <c r="G729" i="1"/>
  <c r="F729" i="1"/>
  <c r="E729" i="1"/>
  <c r="K729" i="1" s="1"/>
  <c r="H728" i="1"/>
  <c r="G728" i="1"/>
  <c r="F728" i="1"/>
  <c r="E728" i="1"/>
  <c r="K728" i="1" s="1"/>
  <c r="H727" i="1"/>
  <c r="G727" i="1"/>
  <c r="F727" i="1"/>
  <c r="E727" i="1"/>
  <c r="K727" i="1" s="1"/>
  <c r="H726" i="1"/>
  <c r="G726" i="1"/>
  <c r="F726" i="1"/>
  <c r="E726" i="1"/>
  <c r="H725" i="1"/>
  <c r="G725" i="1"/>
  <c r="F725" i="1"/>
  <c r="E725" i="1"/>
  <c r="K725" i="1" s="1"/>
  <c r="H724" i="1"/>
  <c r="G724" i="1"/>
  <c r="F724" i="1"/>
  <c r="E724" i="1"/>
  <c r="K724" i="1" s="1"/>
  <c r="H723" i="1"/>
  <c r="G723" i="1"/>
  <c r="F723" i="1"/>
  <c r="E723" i="1"/>
  <c r="K723" i="1" s="1"/>
  <c r="H722" i="1"/>
  <c r="G722" i="1"/>
  <c r="F722" i="1"/>
  <c r="E722" i="1"/>
  <c r="K722" i="1" s="1"/>
  <c r="H721" i="1"/>
  <c r="G721" i="1"/>
  <c r="F721" i="1"/>
  <c r="E721" i="1"/>
  <c r="K721" i="1" s="1"/>
  <c r="H720" i="1"/>
  <c r="G720" i="1"/>
  <c r="F720" i="1"/>
  <c r="E720" i="1"/>
  <c r="H719" i="1"/>
  <c r="G719" i="1"/>
  <c r="F719" i="1"/>
  <c r="E719" i="1"/>
  <c r="H718" i="1"/>
  <c r="G718" i="1"/>
  <c r="F718" i="1"/>
  <c r="E718" i="1"/>
  <c r="H717" i="1"/>
  <c r="G717" i="1"/>
  <c r="F717" i="1"/>
  <c r="E717" i="1"/>
  <c r="K717" i="1" s="1"/>
  <c r="H716" i="1"/>
  <c r="G716" i="1"/>
  <c r="F716" i="1"/>
  <c r="K716" i="1" s="1"/>
  <c r="E715" i="1"/>
  <c r="K715" i="1" s="1"/>
  <c r="E714" i="1"/>
  <c r="K714" i="1" s="1"/>
  <c r="E713" i="1"/>
  <c r="K713" i="1" s="1"/>
  <c r="E712" i="1"/>
  <c r="K712" i="1" s="1"/>
  <c r="E711" i="1"/>
  <c r="K711" i="1" s="1"/>
  <c r="E710" i="1"/>
  <c r="K710" i="1" s="1"/>
  <c r="E709" i="1"/>
  <c r="K709" i="1" s="1"/>
  <c r="E708" i="1"/>
  <c r="K708" i="1" s="1"/>
  <c r="E707" i="1"/>
  <c r="K707" i="1" s="1"/>
  <c r="E706" i="1"/>
  <c r="K706" i="1" s="1"/>
  <c r="E705" i="1"/>
  <c r="K705" i="1" s="1"/>
  <c r="E704" i="1"/>
  <c r="K704" i="1" s="1"/>
  <c r="E703" i="1"/>
  <c r="K703" i="1" s="1"/>
  <c r="E702" i="1"/>
  <c r="K702" i="1" s="1"/>
  <c r="E701" i="1"/>
  <c r="K701" i="1" s="1"/>
  <c r="E700" i="1"/>
  <c r="K700" i="1" s="1"/>
  <c r="E699" i="1"/>
  <c r="K699" i="1" s="1"/>
  <c r="E698" i="1"/>
  <c r="K698" i="1" s="1"/>
  <c r="E697" i="1"/>
  <c r="K697" i="1" s="1"/>
  <c r="E696" i="1"/>
  <c r="K696" i="1" s="1"/>
  <c r="E695" i="1"/>
  <c r="K695" i="1" s="1"/>
  <c r="K694" i="1"/>
  <c r="K693" i="1"/>
  <c r="H692" i="1"/>
  <c r="E692" i="1"/>
  <c r="K692" i="1" s="1"/>
  <c r="K691" i="1"/>
  <c r="H691" i="1"/>
  <c r="E691" i="1"/>
  <c r="H690" i="1"/>
  <c r="K690" i="1" s="1"/>
  <c r="E690" i="1"/>
  <c r="H689" i="1"/>
  <c r="E689" i="1"/>
  <c r="K689" i="1" s="1"/>
  <c r="H688" i="1"/>
  <c r="E688" i="1"/>
  <c r="K688" i="1" s="1"/>
  <c r="K687" i="1"/>
  <c r="H687" i="1"/>
  <c r="E687" i="1"/>
  <c r="H686" i="1"/>
  <c r="K686" i="1" s="1"/>
  <c r="E686" i="1"/>
  <c r="H685" i="1"/>
  <c r="E685" i="1"/>
  <c r="K685" i="1" s="1"/>
  <c r="H684" i="1"/>
  <c r="E684" i="1"/>
  <c r="K684" i="1" s="1"/>
  <c r="K683" i="1"/>
  <c r="H683" i="1"/>
  <c r="E683" i="1"/>
  <c r="H682" i="1"/>
  <c r="K682" i="1" s="1"/>
  <c r="E682" i="1"/>
  <c r="H681" i="1"/>
  <c r="E681" i="1"/>
  <c r="K681" i="1" s="1"/>
  <c r="H680" i="1"/>
  <c r="E680" i="1"/>
  <c r="K680" i="1" s="1"/>
  <c r="K679" i="1"/>
  <c r="H679" i="1"/>
  <c r="E679" i="1"/>
  <c r="H678" i="1"/>
  <c r="K678" i="1" s="1"/>
  <c r="E678" i="1"/>
  <c r="H677" i="1"/>
  <c r="E677" i="1"/>
  <c r="K677" i="1" s="1"/>
  <c r="H676" i="1"/>
  <c r="E676" i="1"/>
  <c r="K676" i="1" s="1"/>
  <c r="K675" i="1"/>
  <c r="H675" i="1"/>
  <c r="E675" i="1"/>
  <c r="H674" i="1"/>
  <c r="K674" i="1" s="1"/>
  <c r="E674" i="1"/>
  <c r="H673" i="1"/>
  <c r="E673" i="1"/>
  <c r="K673" i="1" s="1"/>
  <c r="H672" i="1"/>
  <c r="E672" i="1"/>
  <c r="K672" i="1" s="1"/>
  <c r="K671" i="1"/>
  <c r="H671" i="1"/>
  <c r="E671" i="1"/>
  <c r="H670" i="1"/>
  <c r="K670" i="1" s="1"/>
  <c r="E670" i="1"/>
  <c r="H669" i="1"/>
  <c r="E669" i="1"/>
  <c r="K669" i="1" s="1"/>
  <c r="H668" i="1"/>
  <c r="E668" i="1"/>
  <c r="K668" i="1" s="1"/>
  <c r="K667" i="1"/>
  <c r="H667" i="1"/>
  <c r="E667" i="1"/>
  <c r="H666" i="1"/>
  <c r="K666" i="1" s="1"/>
  <c r="E666" i="1"/>
  <c r="H665" i="1"/>
  <c r="E665" i="1"/>
  <c r="K665" i="1" s="1"/>
  <c r="H664" i="1"/>
  <c r="E664" i="1"/>
  <c r="K664" i="1" s="1"/>
  <c r="K663" i="1"/>
  <c r="H663" i="1"/>
  <c r="E663" i="1"/>
  <c r="K662" i="1"/>
  <c r="K661" i="1"/>
  <c r="H661" i="1"/>
  <c r="E661" i="1"/>
  <c r="H660" i="1"/>
  <c r="K660" i="1" s="1"/>
  <c r="E660" i="1"/>
  <c r="H659" i="1"/>
  <c r="E659" i="1"/>
  <c r="K659" i="1" s="1"/>
  <c r="E658" i="1"/>
  <c r="K658" i="1" s="1"/>
  <c r="H657" i="1"/>
  <c r="K657" i="1" s="1"/>
  <c r="E657" i="1"/>
  <c r="K656" i="1"/>
  <c r="K655" i="1"/>
  <c r="K654" i="1"/>
  <c r="K653" i="1"/>
  <c r="K652" i="1"/>
  <c r="K651" i="1"/>
  <c r="K650" i="1"/>
  <c r="E649" i="1"/>
  <c r="K649" i="1" s="1"/>
  <c r="E648" i="1"/>
  <c r="K648" i="1" s="1"/>
  <c r="E647" i="1"/>
  <c r="K647" i="1" s="1"/>
  <c r="E646" i="1"/>
  <c r="K646" i="1" s="1"/>
  <c r="E645" i="1"/>
  <c r="K645" i="1" s="1"/>
  <c r="E644" i="1"/>
  <c r="K644" i="1" s="1"/>
  <c r="E643" i="1"/>
  <c r="K643" i="1" s="1"/>
  <c r="E642" i="1"/>
  <c r="K642" i="1" s="1"/>
  <c r="E641" i="1"/>
  <c r="K641" i="1" s="1"/>
  <c r="E640" i="1"/>
  <c r="K640" i="1" s="1"/>
  <c r="E639" i="1"/>
  <c r="K639" i="1" s="1"/>
  <c r="E638" i="1"/>
  <c r="K638" i="1" s="1"/>
  <c r="E637" i="1"/>
  <c r="K637" i="1" s="1"/>
  <c r="K636" i="1"/>
  <c r="E636" i="1"/>
  <c r="E635" i="1"/>
  <c r="K635" i="1" s="1"/>
  <c r="E634" i="1"/>
  <c r="K634" i="1" s="1"/>
  <c r="G633" i="1"/>
  <c r="E633" i="1"/>
  <c r="K633" i="1" s="1"/>
  <c r="K632" i="1"/>
  <c r="G632" i="1"/>
  <c r="E632" i="1"/>
  <c r="G631" i="1"/>
  <c r="K631" i="1" s="1"/>
  <c r="E631" i="1"/>
  <c r="G630" i="1"/>
  <c r="E630" i="1"/>
  <c r="K630" i="1" s="1"/>
  <c r="G629" i="1"/>
  <c r="E629" i="1"/>
  <c r="K629" i="1" s="1"/>
  <c r="K628" i="1"/>
  <c r="G628" i="1"/>
  <c r="E628" i="1"/>
  <c r="K627" i="1"/>
  <c r="G627" i="1"/>
  <c r="E627" i="1"/>
  <c r="G626" i="1"/>
  <c r="E626" i="1"/>
  <c r="K626" i="1" s="1"/>
  <c r="G625" i="1"/>
  <c r="E625" i="1"/>
  <c r="K625" i="1" s="1"/>
  <c r="K624" i="1"/>
  <c r="K623" i="1"/>
  <c r="G622" i="1"/>
  <c r="E622" i="1"/>
  <c r="K622" i="1" s="1"/>
  <c r="G621" i="1"/>
  <c r="E621" i="1"/>
  <c r="K621" i="1" s="1"/>
  <c r="K620" i="1"/>
  <c r="G620" i="1"/>
  <c r="E620" i="1"/>
  <c r="K619" i="1"/>
  <c r="G619" i="1"/>
  <c r="G618" i="1"/>
  <c r="K618" i="1" s="1"/>
  <c r="G617" i="1"/>
  <c r="K617" i="1" s="1"/>
  <c r="G616" i="1"/>
  <c r="E616" i="1"/>
  <c r="K616" i="1" s="1"/>
  <c r="K615" i="1"/>
  <c r="G615" i="1"/>
  <c r="G614" i="1"/>
  <c r="K614" i="1" s="1"/>
  <c r="K613" i="1"/>
  <c r="G613" i="1"/>
  <c r="E613" i="1"/>
  <c r="G612" i="1"/>
  <c r="K612" i="1" s="1"/>
  <c r="E612" i="1"/>
  <c r="K611" i="1"/>
  <c r="G610" i="1"/>
  <c r="K610" i="1" s="1"/>
  <c r="E610" i="1"/>
  <c r="G609" i="1"/>
  <c r="E609" i="1"/>
  <c r="G608" i="1"/>
  <c r="K608" i="1" s="1"/>
  <c r="G607" i="1"/>
  <c r="K607" i="1" s="1"/>
  <c r="E607" i="1"/>
  <c r="G606" i="1"/>
  <c r="E606" i="1"/>
  <c r="K606" i="1" s="1"/>
  <c r="G605" i="1"/>
  <c r="E605" i="1"/>
  <c r="K605" i="1" s="1"/>
  <c r="K604" i="1"/>
  <c r="K603" i="1"/>
  <c r="K602" i="1"/>
  <c r="K601" i="1"/>
  <c r="K600" i="1"/>
  <c r="K599" i="1"/>
  <c r="K598" i="1"/>
  <c r="K597" i="1"/>
  <c r="K596" i="1"/>
  <c r="K595" i="1"/>
  <c r="K594" i="1"/>
  <c r="K593" i="1"/>
  <c r="K592" i="1"/>
  <c r="K591" i="1"/>
  <c r="K590" i="1"/>
  <c r="K589" i="1"/>
  <c r="K588" i="1"/>
  <c r="K587" i="1"/>
  <c r="K586" i="1"/>
  <c r="K585" i="1"/>
  <c r="K584" i="1"/>
  <c r="K583" i="1"/>
  <c r="K582" i="1"/>
  <c r="K581" i="1"/>
  <c r="K580" i="1"/>
  <c r="K579" i="1"/>
  <c r="K578" i="1"/>
  <c r="E577" i="1"/>
  <c r="K577" i="1" s="1"/>
  <c r="E576" i="1"/>
  <c r="K576" i="1" s="1"/>
  <c r="K575" i="1"/>
  <c r="E575" i="1"/>
  <c r="E574" i="1"/>
  <c r="K574" i="1" s="1"/>
  <c r="E573" i="1"/>
  <c r="K573" i="1" s="1"/>
  <c r="E572" i="1"/>
  <c r="K572" i="1" s="1"/>
  <c r="E571" i="1"/>
  <c r="K571" i="1" s="1"/>
  <c r="E570" i="1"/>
  <c r="K570" i="1" s="1"/>
  <c r="E569" i="1"/>
  <c r="K569" i="1" s="1"/>
  <c r="E568" i="1"/>
  <c r="K568" i="1" s="1"/>
  <c r="K567" i="1"/>
  <c r="E567" i="1"/>
  <c r="K566" i="1"/>
  <c r="K565" i="1"/>
  <c r="K564" i="1"/>
  <c r="K563" i="1"/>
  <c r="K562" i="1"/>
  <c r="K561" i="1"/>
  <c r="K560" i="1"/>
  <c r="K559" i="1"/>
  <c r="K558" i="1"/>
  <c r="K557" i="1"/>
  <c r="K556" i="1"/>
  <c r="K555" i="1"/>
  <c r="K554" i="1"/>
  <c r="K553" i="1"/>
  <c r="K552" i="1"/>
  <c r="K551" i="1"/>
  <c r="K550" i="1"/>
  <c r="K549" i="1"/>
  <c r="K548" i="1"/>
  <c r="K547" i="1"/>
  <c r="K546" i="1"/>
  <c r="K545" i="1"/>
  <c r="K544" i="1"/>
  <c r="K543" i="1"/>
  <c r="K542" i="1"/>
  <c r="K541" i="1"/>
  <c r="K540" i="1"/>
  <c r="K539" i="1"/>
  <c r="E538" i="1"/>
  <c r="K538" i="1" s="1"/>
  <c r="E537" i="1"/>
  <c r="K537" i="1" s="1"/>
  <c r="E536" i="1"/>
  <c r="K536" i="1" s="1"/>
  <c r="E535" i="1"/>
  <c r="K535" i="1" s="1"/>
  <c r="E534" i="1"/>
  <c r="K534" i="1" s="1"/>
  <c r="K533" i="1"/>
  <c r="K532" i="1"/>
  <c r="K531" i="1"/>
  <c r="K530" i="1"/>
  <c r="K529" i="1"/>
  <c r="K528" i="1"/>
  <c r="K527" i="1"/>
  <c r="K526" i="1"/>
  <c r="K525" i="1"/>
  <c r="K524" i="1"/>
  <c r="K523" i="1"/>
  <c r="K522" i="1"/>
  <c r="K521" i="1"/>
  <c r="K520" i="1"/>
  <c r="K519" i="1"/>
  <c r="K518" i="1"/>
  <c r="K517" i="1"/>
  <c r="K516" i="1"/>
  <c r="K515" i="1"/>
  <c r="K514" i="1"/>
  <c r="K513" i="1"/>
  <c r="K512" i="1"/>
  <c r="K511" i="1"/>
  <c r="K510" i="1"/>
  <c r="K509" i="1"/>
  <c r="K508" i="1"/>
  <c r="K507" i="1"/>
  <c r="K506" i="1"/>
  <c r="K505" i="1"/>
  <c r="K504" i="1"/>
  <c r="K503" i="1"/>
  <c r="K502" i="1"/>
  <c r="K501" i="1"/>
  <c r="K500" i="1"/>
  <c r="K499" i="1"/>
  <c r="K498" i="1"/>
  <c r="K497" i="1"/>
  <c r="K496" i="1"/>
  <c r="K495" i="1"/>
  <c r="K494" i="1"/>
  <c r="E493" i="1"/>
  <c r="K493" i="1" s="1"/>
  <c r="E492" i="1"/>
  <c r="K492" i="1" s="1"/>
  <c r="K491" i="1"/>
  <c r="E491" i="1"/>
  <c r="E490" i="1"/>
  <c r="K490" i="1" s="1"/>
  <c r="E489" i="1"/>
  <c r="K489" i="1" s="1"/>
  <c r="E488" i="1"/>
  <c r="K488" i="1" s="1"/>
  <c r="E487" i="1"/>
  <c r="K487" i="1" s="1"/>
  <c r="E486" i="1"/>
  <c r="K486" i="1" s="1"/>
  <c r="E485" i="1"/>
  <c r="K485" i="1" s="1"/>
  <c r="E484" i="1"/>
  <c r="K484" i="1" s="1"/>
  <c r="K483" i="1"/>
  <c r="E483" i="1"/>
  <c r="E482" i="1"/>
  <c r="K482" i="1" s="1"/>
  <c r="E481" i="1"/>
  <c r="K481" i="1" s="1"/>
  <c r="E480" i="1"/>
  <c r="K480" i="1" s="1"/>
  <c r="E479" i="1"/>
  <c r="K479" i="1" s="1"/>
  <c r="E478" i="1"/>
  <c r="K478" i="1" s="1"/>
  <c r="E477" i="1"/>
  <c r="K477" i="1" s="1"/>
  <c r="E476" i="1"/>
  <c r="K476" i="1" s="1"/>
  <c r="K475" i="1"/>
  <c r="E475" i="1"/>
  <c r="E474" i="1"/>
  <c r="K474" i="1" s="1"/>
  <c r="E473" i="1"/>
  <c r="K473" i="1" s="1"/>
  <c r="E472" i="1"/>
  <c r="K472" i="1" s="1"/>
  <c r="E471" i="1"/>
  <c r="K471" i="1" s="1"/>
  <c r="E470" i="1"/>
  <c r="K470" i="1" s="1"/>
  <c r="E469" i="1"/>
  <c r="K469" i="1" s="1"/>
  <c r="E468" i="1"/>
  <c r="K468" i="1" s="1"/>
  <c r="K467" i="1"/>
  <c r="E467" i="1"/>
  <c r="E466" i="1"/>
  <c r="K466" i="1" s="1"/>
  <c r="E465" i="1"/>
  <c r="K465" i="1" s="1"/>
  <c r="E464" i="1"/>
  <c r="K464" i="1" s="1"/>
  <c r="E463" i="1"/>
  <c r="K463" i="1" s="1"/>
  <c r="E462" i="1"/>
  <c r="K462" i="1" s="1"/>
  <c r="E461" i="1"/>
  <c r="K461" i="1" s="1"/>
  <c r="G460" i="1"/>
  <c r="E460" i="1"/>
  <c r="K460" i="1" s="1"/>
  <c r="K459" i="1"/>
  <c r="G459" i="1"/>
  <c r="E459" i="1"/>
  <c r="K458" i="1"/>
  <c r="G458" i="1"/>
  <c r="E458" i="1"/>
  <c r="G457" i="1"/>
  <c r="E457" i="1"/>
  <c r="K457" i="1" s="1"/>
  <c r="G456" i="1"/>
  <c r="E456" i="1"/>
  <c r="K456" i="1" s="1"/>
  <c r="K455" i="1"/>
  <c r="G455" i="1"/>
  <c r="E455" i="1"/>
  <c r="G454" i="1"/>
  <c r="K454" i="1" s="1"/>
  <c r="E454" i="1"/>
  <c r="G453" i="1"/>
  <c r="E453" i="1"/>
  <c r="K453" i="1" s="1"/>
  <c r="G452" i="1"/>
  <c r="E452" i="1"/>
  <c r="K452" i="1" s="1"/>
  <c r="K451" i="1"/>
  <c r="G451" i="1"/>
  <c r="E451" i="1"/>
  <c r="K450" i="1"/>
  <c r="G450" i="1"/>
  <c r="E450" i="1"/>
  <c r="G449" i="1"/>
  <c r="E449" i="1"/>
  <c r="K449" i="1" s="1"/>
  <c r="G448" i="1"/>
  <c r="E448" i="1"/>
  <c r="K448" i="1" s="1"/>
  <c r="K447" i="1"/>
  <c r="G447" i="1"/>
  <c r="E447" i="1"/>
  <c r="G446" i="1"/>
  <c r="K446" i="1" s="1"/>
  <c r="E446" i="1"/>
  <c r="G445" i="1"/>
  <c r="E445" i="1"/>
  <c r="K445" i="1" s="1"/>
  <c r="G444" i="1"/>
  <c r="E444" i="1"/>
  <c r="K444" i="1" s="1"/>
  <c r="K443" i="1"/>
  <c r="K442" i="1"/>
  <c r="K441" i="1"/>
  <c r="K440" i="1"/>
  <c r="K439" i="1"/>
  <c r="K438" i="1"/>
  <c r="K437" i="1"/>
  <c r="K436" i="1"/>
  <c r="K435" i="1"/>
  <c r="K434" i="1"/>
  <c r="K433" i="1"/>
  <c r="K432" i="1"/>
  <c r="K431" i="1"/>
  <c r="K430" i="1"/>
  <c r="K429" i="1"/>
  <c r="K428" i="1"/>
  <c r="K427" i="1"/>
  <c r="K426" i="1"/>
  <c r="E425" i="1"/>
  <c r="K425" i="1" s="1"/>
  <c r="K424" i="1"/>
  <c r="E424" i="1"/>
  <c r="H423" i="1"/>
  <c r="E423" i="1"/>
  <c r="K423" i="1" s="1"/>
  <c r="H422" i="1"/>
  <c r="E422" i="1"/>
  <c r="K422" i="1" s="1"/>
  <c r="K421" i="1"/>
  <c r="E421" i="1"/>
  <c r="H420" i="1"/>
  <c r="E420" i="1"/>
  <c r="H419" i="1"/>
  <c r="E419" i="1"/>
  <c r="K419" i="1" s="1"/>
  <c r="K418" i="1"/>
  <c r="H418" i="1"/>
  <c r="E418" i="1"/>
  <c r="H417" i="1"/>
  <c r="K417" i="1" s="1"/>
  <c r="E417" i="1"/>
  <c r="E416" i="1"/>
  <c r="K416" i="1" s="1"/>
  <c r="K415" i="1"/>
  <c r="E415" i="1"/>
  <c r="H414" i="1"/>
  <c r="E414" i="1"/>
  <c r="K414" i="1" s="1"/>
  <c r="H413" i="1"/>
  <c r="E413" i="1"/>
  <c r="K413" i="1" s="1"/>
  <c r="K412" i="1"/>
  <c r="E412" i="1"/>
  <c r="E411" i="1"/>
  <c r="K411" i="1" s="1"/>
  <c r="K410" i="1"/>
  <c r="K409" i="1"/>
  <c r="K408" i="1"/>
  <c r="K407" i="1"/>
  <c r="K406" i="1"/>
  <c r="K405" i="1"/>
  <c r="K404" i="1"/>
  <c r="E403" i="1"/>
  <c r="K403" i="1" s="1"/>
  <c r="E402" i="1"/>
  <c r="K402" i="1" s="1"/>
  <c r="E401" i="1"/>
  <c r="K401" i="1" s="1"/>
  <c r="E400" i="1"/>
  <c r="K400" i="1" s="1"/>
  <c r="E399" i="1"/>
  <c r="K399" i="1" s="1"/>
  <c r="E398" i="1"/>
  <c r="K398" i="1" s="1"/>
  <c r="K397" i="1"/>
  <c r="E397" i="1"/>
  <c r="E396" i="1"/>
  <c r="K396" i="1" s="1"/>
  <c r="E395" i="1"/>
  <c r="K395" i="1" s="1"/>
  <c r="E394" i="1"/>
  <c r="K394" i="1" s="1"/>
  <c r="E393" i="1"/>
  <c r="K393" i="1" s="1"/>
  <c r="E392" i="1"/>
  <c r="K392" i="1" s="1"/>
  <c r="E391" i="1"/>
  <c r="K391" i="1" s="1"/>
  <c r="E390" i="1"/>
  <c r="K390" i="1" s="1"/>
  <c r="K389" i="1"/>
  <c r="E389" i="1"/>
  <c r="E388" i="1"/>
  <c r="K388" i="1" s="1"/>
  <c r="E387" i="1"/>
  <c r="K387" i="1" s="1"/>
  <c r="E386" i="1"/>
  <c r="K386" i="1" s="1"/>
  <c r="E385" i="1"/>
  <c r="K385" i="1" s="1"/>
  <c r="E384" i="1"/>
  <c r="K384" i="1" s="1"/>
  <c r="E383" i="1"/>
  <c r="K383" i="1" s="1"/>
  <c r="E382" i="1"/>
  <c r="K382" i="1" s="1"/>
  <c r="K381" i="1"/>
  <c r="E381" i="1"/>
  <c r="E380" i="1"/>
  <c r="K380" i="1" s="1"/>
  <c r="E379" i="1"/>
  <c r="K379" i="1" s="1"/>
  <c r="E378" i="1"/>
  <c r="K378" i="1" s="1"/>
  <c r="E377" i="1"/>
  <c r="K377" i="1" s="1"/>
  <c r="E376" i="1"/>
  <c r="K376" i="1" s="1"/>
  <c r="E375" i="1"/>
  <c r="K375" i="1" s="1"/>
  <c r="E374" i="1"/>
  <c r="K374" i="1" s="1"/>
  <c r="K373" i="1"/>
  <c r="E373" i="1"/>
  <c r="E372" i="1"/>
  <c r="K372" i="1" s="1"/>
  <c r="E371" i="1"/>
  <c r="K371" i="1" s="1"/>
  <c r="E370" i="1"/>
  <c r="K370" i="1" s="1"/>
  <c r="E369" i="1"/>
  <c r="K369" i="1" s="1"/>
  <c r="E368" i="1"/>
  <c r="K368" i="1" s="1"/>
  <c r="E367" i="1"/>
  <c r="K367" i="1" s="1"/>
  <c r="E366" i="1"/>
  <c r="K366" i="1" s="1"/>
  <c r="K365" i="1"/>
  <c r="E365" i="1"/>
  <c r="E364" i="1"/>
  <c r="K364" i="1" s="1"/>
  <c r="K363" i="1"/>
  <c r="K362" i="1"/>
  <c r="K361" i="1"/>
  <c r="K360" i="1"/>
  <c r="K359" i="1"/>
  <c r="K358" i="1"/>
  <c r="K357" i="1"/>
  <c r="K356" i="1"/>
  <c r="K355" i="1"/>
  <c r="K354" i="1"/>
  <c r="K353" i="1"/>
  <c r="K352" i="1"/>
  <c r="K351" i="1"/>
  <c r="K350" i="1"/>
  <c r="K349" i="1"/>
  <c r="K348" i="1"/>
  <c r="K347" i="1"/>
  <c r="K346" i="1"/>
  <c r="K345" i="1"/>
  <c r="K344" i="1"/>
  <c r="K343" i="1"/>
  <c r="K342" i="1"/>
  <c r="K341" i="1"/>
  <c r="K340" i="1"/>
  <c r="K339" i="1"/>
  <c r="K338" i="1"/>
  <c r="K337" i="1"/>
  <c r="K336" i="1"/>
  <c r="K335" i="1"/>
  <c r="K334" i="1"/>
  <c r="K333" i="1"/>
  <c r="K332" i="1"/>
  <c r="K331" i="1"/>
  <c r="K330" i="1"/>
  <c r="K329" i="1"/>
  <c r="K328" i="1"/>
  <c r="K327" i="1"/>
  <c r="K326" i="1"/>
  <c r="K325" i="1"/>
  <c r="K324" i="1"/>
  <c r="K323" i="1"/>
  <c r="K322" i="1"/>
  <c r="K321" i="1"/>
  <c r="K320" i="1"/>
  <c r="K319" i="1"/>
  <c r="K318" i="1"/>
  <c r="K317" i="1"/>
  <c r="K316" i="1"/>
  <c r="K315" i="1"/>
  <c r="K314" i="1"/>
  <c r="K313" i="1"/>
  <c r="K312" i="1"/>
  <c r="K311" i="1"/>
  <c r="K310" i="1"/>
  <c r="K309" i="1"/>
  <c r="K308" i="1"/>
  <c r="K307" i="1"/>
  <c r="K306" i="1"/>
  <c r="K305" i="1"/>
  <c r="K304" i="1"/>
  <c r="K303" i="1"/>
  <c r="K302" i="1"/>
  <c r="K301" i="1"/>
  <c r="K300" i="1"/>
  <c r="K299" i="1"/>
  <c r="K298" i="1"/>
  <c r="K297" i="1"/>
  <c r="K296" i="1"/>
  <c r="K295" i="1"/>
  <c r="K294" i="1"/>
  <c r="K293" i="1"/>
  <c r="K292" i="1"/>
  <c r="K291" i="1"/>
  <c r="K290" i="1"/>
  <c r="K289" i="1"/>
  <c r="K288" i="1"/>
  <c r="K287" i="1"/>
  <c r="K286" i="1"/>
  <c r="K285" i="1"/>
  <c r="E284" i="1"/>
  <c r="K284" i="1" s="1"/>
  <c r="K283" i="1"/>
  <c r="E283" i="1"/>
  <c r="E282" i="1"/>
  <c r="K282" i="1" s="1"/>
  <c r="K281" i="1"/>
  <c r="E281" i="1"/>
  <c r="E280" i="1"/>
  <c r="K280" i="1" s="1"/>
  <c r="K279" i="1"/>
  <c r="E278" i="1"/>
  <c r="K278" i="1" s="1"/>
  <c r="K277" i="1"/>
  <c r="K276" i="1"/>
  <c r="K275" i="1"/>
  <c r="K274" i="1"/>
  <c r="K273" i="1"/>
  <c r="K272" i="1"/>
  <c r="K271" i="1"/>
  <c r="K270" i="1"/>
  <c r="K269" i="1"/>
  <c r="K268" i="1"/>
  <c r="K267" i="1"/>
  <c r="K266" i="1"/>
  <c r="K265" i="1"/>
  <c r="K264" i="1"/>
  <c r="K263" i="1"/>
  <c r="K262" i="1"/>
  <c r="K261" i="1"/>
  <c r="K260" i="1"/>
  <c r="K259" i="1"/>
  <c r="K258" i="1"/>
  <c r="K257" i="1"/>
  <c r="K256" i="1"/>
  <c r="K255" i="1"/>
  <c r="K254" i="1"/>
  <c r="K253" i="1"/>
  <c r="K252" i="1"/>
  <c r="K251" i="1"/>
  <c r="K250" i="1"/>
  <c r="K249" i="1"/>
  <c r="K248" i="1"/>
  <c r="K247" i="1"/>
  <c r="K246" i="1"/>
  <c r="K245" i="1"/>
  <c r="K244" i="1"/>
  <c r="K243" i="1"/>
  <c r="K242" i="1"/>
  <c r="K241" i="1"/>
  <c r="K240" i="1"/>
  <c r="K239" i="1"/>
  <c r="K238" i="1"/>
  <c r="K237" i="1"/>
  <c r="K236" i="1"/>
  <c r="K235" i="1"/>
  <c r="K234" i="1"/>
  <c r="K233" i="1"/>
  <c r="K232" i="1"/>
  <c r="K231" i="1"/>
  <c r="K230" i="1"/>
  <c r="K229" i="1"/>
  <c r="K228" i="1"/>
  <c r="K227" i="1"/>
  <c r="K226" i="1"/>
  <c r="K225" i="1"/>
  <c r="K224" i="1"/>
  <c r="K223" i="1"/>
  <c r="K222" i="1"/>
  <c r="K221" i="1"/>
  <c r="K220" i="1"/>
  <c r="K219" i="1"/>
  <c r="H218" i="1"/>
  <c r="K218" i="1" s="1"/>
  <c r="K217" i="1"/>
  <c r="K216" i="1"/>
  <c r="K215" i="1"/>
  <c r="K214" i="1"/>
  <c r="K213" i="1"/>
  <c r="K212" i="1"/>
  <c r="K211" i="1"/>
  <c r="K210" i="1"/>
  <c r="K209" i="1"/>
  <c r="K208" i="1"/>
  <c r="K207" i="1"/>
  <c r="K206" i="1"/>
  <c r="K205" i="1"/>
  <c r="K204" i="1"/>
  <c r="K203" i="1"/>
  <c r="E202" i="1"/>
  <c r="K202" i="1" s="1"/>
  <c r="E201" i="1"/>
  <c r="K201" i="1" s="1"/>
  <c r="E200" i="1"/>
  <c r="K200" i="1" s="1"/>
  <c r="E199" i="1"/>
  <c r="K199" i="1" s="1"/>
  <c r="K198" i="1"/>
  <c r="E198" i="1"/>
  <c r="E197" i="1"/>
  <c r="K197" i="1" s="1"/>
  <c r="E196" i="1"/>
  <c r="K196" i="1" s="1"/>
  <c r="E195" i="1"/>
  <c r="K195" i="1" s="1"/>
  <c r="E194" i="1"/>
  <c r="K194" i="1" s="1"/>
  <c r="E193" i="1"/>
  <c r="K193" i="1" s="1"/>
  <c r="E192" i="1"/>
  <c r="K192" i="1" s="1"/>
  <c r="E191" i="1"/>
  <c r="K191" i="1" s="1"/>
  <c r="K190" i="1"/>
  <c r="E190" i="1"/>
  <c r="E189" i="1"/>
  <c r="K189" i="1" s="1"/>
  <c r="E188" i="1"/>
  <c r="K188" i="1" s="1"/>
  <c r="E187" i="1"/>
  <c r="K187" i="1" s="1"/>
  <c r="E186" i="1"/>
  <c r="K186" i="1" s="1"/>
  <c r="E185" i="1"/>
  <c r="K185" i="1" s="1"/>
  <c r="E184" i="1"/>
  <c r="K184" i="1" s="1"/>
  <c r="E183" i="1"/>
  <c r="K183" i="1" s="1"/>
  <c r="K182" i="1"/>
  <c r="E182" i="1"/>
  <c r="E181" i="1"/>
  <c r="K181" i="1" s="1"/>
  <c r="E180" i="1"/>
  <c r="K180" i="1" s="1"/>
  <c r="E179" i="1"/>
  <c r="K179" i="1" s="1"/>
  <c r="G178" i="1"/>
  <c r="K178" i="1" s="1"/>
  <c r="E178" i="1"/>
  <c r="G177" i="1"/>
  <c r="E177" i="1"/>
  <c r="K177" i="1" s="1"/>
  <c r="G176" i="1"/>
  <c r="E176" i="1"/>
  <c r="K176" i="1" s="1"/>
  <c r="K175" i="1"/>
  <c r="G175" i="1"/>
  <c r="E175" i="1"/>
  <c r="K174" i="1"/>
  <c r="G174" i="1"/>
  <c r="E174" i="1"/>
  <c r="G173" i="1"/>
  <c r="E173" i="1"/>
  <c r="K173" i="1" s="1"/>
  <c r="G172" i="1"/>
  <c r="E172" i="1"/>
  <c r="K172" i="1" s="1"/>
  <c r="K171" i="1"/>
  <c r="G171" i="1"/>
  <c r="E171" i="1"/>
  <c r="G170" i="1"/>
  <c r="K170" i="1" s="1"/>
  <c r="E170" i="1"/>
  <c r="G169" i="1"/>
  <c r="E169" i="1"/>
  <c r="K169" i="1" s="1"/>
  <c r="G168" i="1"/>
  <c r="E168" i="1"/>
  <c r="K168" i="1" s="1"/>
  <c r="K167" i="1"/>
  <c r="G167" i="1"/>
  <c r="E167" i="1"/>
  <c r="K166" i="1"/>
  <c r="G166" i="1"/>
  <c r="E166" i="1"/>
  <c r="G165" i="1"/>
  <c r="E165" i="1"/>
  <c r="K165" i="1" s="1"/>
  <c r="G164" i="1"/>
  <c r="E164" i="1"/>
  <c r="K164" i="1" s="1"/>
  <c r="K163" i="1"/>
  <c r="G163" i="1"/>
  <c r="E163" i="1"/>
  <c r="G162" i="1"/>
  <c r="K162" i="1" s="1"/>
  <c r="E162" i="1"/>
  <c r="G161" i="1"/>
  <c r="E161" i="1"/>
  <c r="K161" i="1" s="1"/>
  <c r="G160" i="1"/>
  <c r="E160" i="1"/>
  <c r="K160" i="1" s="1"/>
  <c r="K159" i="1"/>
  <c r="G159" i="1"/>
  <c r="E159" i="1"/>
  <c r="K158" i="1"/>
  <c r="G158" i="1"/>
  <c r="E158" i="1"/>
  <c r="G157" i="1"/>
  <c r="E157" i="1"/>
  <c r="K157" i="1" s="1"/>
  <c r="G156" i="1"/>
  <c r="E156" i="1"/>
  <c r="K156" i="1" s="1"/>
  <c r="K155" i="1"/>
  <c r="G155" i="1"/>
  <c r="E155" i="1"/>
  <c r="K154" i="1"/>
  <c r="K153" i="1"/>
  <c r="K152" i="1"/>
  <c r="K151" i="1"/>
  <c r="K150" i="1"/>
  <c r="K149" i="1"/>
  <c r="E149" i="1"/>
  <c r="K148" i="1"/>
  <c r="K147" i="1"/>
  <c r="K146" i="1"/>
  <c r="K145" i="1"/>
  <c r="K144" i="1"/>
  <c r="K143" i="1"/>
  <c r="K142" i="1"/>
  <c r="K141" i="1"/>
  <c r="G140" i="1"/>
  <c r="E140" i="1"/>
  <c r="K140" i="1" s="1"/>
  <c r="G139" i="1"/>
  <c r="E139" i="1"/>
  <c r="K139" i="1" s="1"/>
  <c r="K138" i="1"/>
  <c r="G138" i="1"/>
  <c r="E138" i="1"/>
  <c r="K137" i="1"/>
  <c r="G137" i="1"/>
  <c r="E137" i="1"/>
  <c r="G136" i="1"/>
  <c r="E136" i="1"/>
  <c r="K136" i="1" s="1"/>
  <c r="G135" i="1"/>
  <c r="E135" i="1"/>
  <c r="K135" i="1" s="1"/>
  <c r="K134" i="1"/>
  <c r="G134" i="1"/>
  <c r="E134" i="1"/>
  <c r="G133" i="1"/>
  <c r="K133" i="1" s="1"/>
  <c r="E133" i="1"/>
  <c r="G132" i="1"/>
  <c r="E132" i="1"/>
  <c r="K132" i="1" s="1"/>
  <c r="K131" i="1"/>
  <c r="K130" i="1"/>
  <c r="K129" i="1"/>
  <c r="K128" i="1"/>
  <c r="K127" i="1"/>
  <c r="K126" i="1"/>
  <c r="K125" i="1"/>
  <c r="K124" i="1"/>
  <c r="K123" i="1"/>
  <c r="G122" i="1"/>
  <c r="E122" i="1"/>
  <c r="G121" i="1"/>
  <c r="E121" i="1"/>
  <c r="K121" i="1" s="1"/>
  <c r="K120" i="1"/>
  <c r="G120" i="1"/>
  <c r="E120" i="1"/>
  <c r="G119" i="1"/>
  <c r="K119" i="1" s="1"/>
  <c r="E119" i="1"/>
  <c r="G118" i="1"/>
  <c r="E118" i="1"/>
  <c r="K118" i="1" s="1"/>
  <c r="G117" i="1"/>
  <c r="E117" i="1"/>
  <c r="K117" i="1" s="1"/>
  <c r="K116" i="1"/>
  <c r="G116" i="1"/>
  <c r="E116" i="1"/>
  <c r="G115" i="1"/>
  <c r="K115" i="1" s="1"/>
  <c r="E115" i="1"/>
  <c r="K114" i="1"/>
  <c r="K113" i="1"/>
  <c r="K112" i="1"/>
  <c r="K111" i="1"/>
  <c r="K110" i="1"/>
  <c r="K109" i="1"/>
  <c r="K108" i="1"/>
  <c r="K107" i="1"/>
  <c r="K106" i="1"/>
  <c r="K105" i="1"/>
  <c r="K104" i="1"/>
  <c r="K103" i="1"/>
  <c r="K102" i="1"/>
  <c r="K101" i="1"/>
  <c r="K100" i="1"/>
  <c r="K99" i="1"/>
  <c r="H98" i="1"/>
  <c r="K98" i="1" s="1"/>
  <c r="K97" i="1"/>
  <c r="H97" i="1"/>
  <c r="H96" i="1"/>
  <c r="K96" i="1" s="1"/>
  <c r="K95" i="1"/>
  <c r="H95" i="1"/>
  <c r="H94" i="1"/>
  <c r="E94" i="1"/>
  <c r="K94" i="1" s="1"/>
  <c r="H93" i="1"/>
  <c r="E93" i="1"/>
  <c r="K93" i="1" s="1"/>
  <c r="K92" i="1"/>
  <c r="H92" i="1"/>
  <c r="E92" i="1"/>
  <c r="H91" i="1"/>
  <c r="K91" i="1" s="1"/>
  <c r="E91" i="1"/>
  <c r="H90" i="1"/>
  <c r="E90" i="1"/>
  <c r="H89" i="1"/>
  <c r="E89" i="1"/>
  <c r="K89" i="1" s="1"/>
  <c r="K88" i="1"/>
  <c r="H88" i="1"/>
  <c r="E88" i="1"/>
  <c r="G87" i="1"/>
  <c r="K87" i="1" s="1"/>
  <c r="E87" i="1"/>
  <c r="K86" i="1"/>
  <c r="K85" i="1"/>
  <c r="K84" i="1"/>
  <c r="K83" i="1"/>
  <c r="K82" i="1"/>
  <c r="K81" i="1"/>
  <c r="K80" i="1"/>
  <c r="K79" i="1"/>
  <c r="K78" i="1"/>
  <c r="K77" i="1"/>
  <c r="K76" i="1"/>
  <c r="G75" i="1"/>
  <c r="E75" i="1"/>
  <c r="K75" i="1" s="1"/>
  <c r="K74" i="1"/>
  <c r="G74" i="1"/>
  <c r="E74" i="1"/>
  <c r="G73" i="1"/>
  <c r="K73" i="1" s="1"/>
  <c r="E73" i="1"/>
  <c r="G72" i="1"/>
  <c r="E72" i="1"/>
  <c r="K72" i="1" s="1"/>
  <c r="G71" i="1"/>
  <c r="E71" i="1"/>
  <c r="K71" i="1" s="1"/>
  <c r="K70" i="1"/>
  <c r="G70" i="1"/>
  <c r="E70" i="1"/>
  <c r="K69" i="1"/>
  <c r="G69" i="1"/>
  <c r="E69" i="1"/>
  <c r="G68" i="1"/>
  <c r="E68" i="1"/>
  <c r="K68" i="1" s="1"/>
  <c r="G67" i="1"/>
  <c r="E67" i="1"/>
  <c r="K67" i="1" s="1"/>
  <c r="K66" i="1"/>
  <c r="G66" i="1"/>
  <c r="E66" i="1"/>
  <c r="G65" i="1"/>
  <c r="K65" i="1" s="1"/>
  <c r="E65" i="1"/>
  <c r="G64" i="1"/>
  <c r="E64" i="1"/>
  <c r="K64" i="1" s="1"/>
  <c r="G63" i="1"/>
  <c r="E63" i="1"/>
  <c r="K63" i="1" s="1"/>
  <c r="K62" i="1"/>
  <c r="G62" i="1"/>
  <c r="E62" i="1"/>
  <c r="K61" i="1"/>
  <c r="G61" i="1"/>
  <c r="E61" i="1"/>
  <c r="E60" i="1"/>
  <c r="K60" i="1" s="1"/>
  <c r="K59" i="1"/>
  <c r="G59" i="1"/>
  <c r="E59" i="1"/>
  <c r="G58" i="1"/>
  <c r="K58" i="1" s="1"/>
  <c r="E58" i="1"/>
  <c r="K57" i="1"/>
  <c r="K56" i="1"/>
  <c r="K55" i="1"/>
  <c r="E54" i="1"/>
  <c r="K54" i="1" s="1"/>
  <c r="E53" i="1"/>
  <c r="K53" i="1" s="1"/>
  <c r="E52" i="1"/>
  <c r="K52" i="1" s="1"/>
  <c r="E51" i="1"/>
  <c r="K51" i="1" s="1"/>
  <c r="E50" i="1"/>
  <c r="K50" i="1" s="1"/>
  <c r="K49" i="1"/>
  <c r="E49" i="1"/>
  <c r="E48" i="1"/>
  <c r="K48" i="1" s="1"/>
  <c r="E47" i="1"/>
  <c r="K47" i="1" s="1"/>
  <c r="E46" i="1"/>
  <c r="K46" i="1" s="1"/>
  <c r="E45" i="1"/>
  <c r="K45" i="1" s="1"/>
  <c r="E44" i="1"/>
  <c r="K44" i="1" s="1"/>
  <c r="E43" i="1"/>
  <c r="K43" i="1" s="1"/>
  <c r="E42" i="1"/>
  <c r="K42" i="1" s="1"/>
  <c r="K41" i="1"/>
  <c r="E41" i="1"/>
  <c r="E40" i="1"/>
  <c r="K40" i="1" s="1"/>
  <c r="E39" i="1"/>
  <c r="K39" i="1" s="1"/>
  <c r="E38" i="1"/>
  <c r="K38" i="1" s="1"/>
  <c r="E37" i="1"/>
  <c r="K37" i="1" s="1"/>
  <c r="E36" i="1"/>
  <c r="K36" i="1" s="1"/>
  <c r="E35" i="1"/>
  <c r="K35" i="1" s="1"/>
  <c r="E34" i="1"/>
  <c r="K34" i="1" s="1"/>
  <c r="K33" i="1"/>
  <c r="E33" i="1"/>
  <c r="E32" i="1"/>
  <c r="K32" i="1" s="1"/>
  <c r="E31" i="1"/>
  <c r="K31" i="1" s="1"/>
  <c r="E30" i="1"/>
  <c r="K30" i="1" s="1"/>
  <c r="E29" i="1"/>
  <c r="K29" i="1" s="1"/>
  <c r="E28" i="1"/>
  <c r="K28" i="1" s="1"/>
  <c r="E27" i="1"/>
  <c r="K27" i="1" s="1"/>
  <c r="E26" i="1"/>
  <c r="K26" i="1" s="1"/>
  <c r="K25" i="1"/>
  <c r="E25" i="1"/>
  <c r="E24" i="1"/>
  <c r="K24" i="1" s="1"/>
  <c r="E23" i="1"/>
  <c r="K23" i="1" s="1"/>
  <c r="G22" i="1"/>
  <c r="E22" i="1"/>
  <c r="K22" i="1" s="1"/>
  <c r="K21" i="1"/>
  <c r="G21" i="1"/>
  <c r="E21" i="1"/>
  <c r="G20" i="1"/>
  <c r="K20" i="1" s="1"/>
  <c r="E20" i="1"/>
  <c r="G19" i="1"/>
  <c r="E19" i="1"/>
  <c r="K19" i="1" s="1"/>
  <c r="G18" i="1"/>
  <c r="E18" i="1"/>
  <c r="K18" i="1" s="1"/>
  <c r="K17" i="1"/>
  <c r="G17" i="1"/>
  <c r="E17" i="1"/>
  <c r="K16" i="1"/>
  <c r="G16" i="1"/>
  <c r="E16" i="1"/>
  <c r="E15" i="1"/>
  <c r="K15" i="1" s="1"/>
  <c r="K14" i="1"/>
  <c r="G14" i="1"/>
  <c r="E14" i="1"/>
  <c r="G13" i="1"/>
  <c r="K13" i="1" s="1"/>
  <c r="E13" i="1"/>
  <c r="G12" i="1"/>
  <c r="E12" i="1"/>
  <c r="K12" i="1" s="1"/>
  <c r="G11" i="1"/>
  <c r="E11" i="1"/>
  <c r="K11" i="1" s="1"/>
  <c r="K10" i="1"/>
  <c r="G10" i="1"/>
  <c r="E10" i="1"/>
  <c r="G9" i="1"/>
  <c r="K9" i="1" s="1"/>
  <c r="E9" i="1"/>
  <c r="G8" i="1"/>
  <c r="E8" i="1"/>
  <c r="G7" i="1"/>
  <c r="E7" i="1"/>
  <c r="K7" i="1" s="1"/>
  <c r="K6" i="1"/>
  <c r="G6" i="1"/>
  <c r="E6" i="1"/>
  <c r="G5" i="1"/>
  <c r="K5" i="1" s="1"/>
  <c r="E5" i="1"/>
  <c r="G4" i="1"/>
  <c r="E4" i="1"/>
  <c r="K4" i="1" s="1"/>
  <c r="G3" i="1"/>
  <c r="E3" i="1"/>
  <c r="K3" i="1" s="1"/>
  <c r="K2" i="1"/>
  <c r="K726" i="1" l="1"/>
  <c r="K738" i="1"/>
  <c r="K730" i="1"/>
  <c r="K731" i="1"/>
  <c r="K8" i="1"/>
  <c r="M1" i="1" s="1"/>
  <c r="K90" i="1"/>
  <c r="K122" i="1"/>
  <c r="K420" i="1"/>
  <c r="K609" i="1"/>
  <c r="K718" i="1"/>
  <c r="K719" i="1"/>
  <c r="K720" i="1"/>
  <c r="K933" i="1"/>
  <c r="K928" i="1"/>
  <c r="K1024" i="1"/>
  <c r="K1078" i="1"/>
  <c r="K1116" i="1"/>
  <c r="K1427" i="1"/>
  <c r="K1451" i="1"/>
  <c r="K1467" i="1"/>
  <c r="K1483" i="1"/>
  <c r="K1499" i="1"/>
  <c r="K1515" i="1"/>
  <c r="K1529" i="1"/>
  <c r="K1545" i="1"/>
  <c r="K1431" i="1"/>
  <c r="K1459" i="1"/>
  <c r="K1475" i="1"/>
  <c r="K1491" i="1"/>
  <c r="K1507" i="1"/>
  <c r="K1537" i="1"/>
  <c r="K1703" i="1"/>
  <c r="K1984" i="1"/>
  <c r="K2162" i="1"/>
  <c r="K2221" i="1"/>
  <c r="K2229" i="1"/>
  <c r="K2331" i="1"/>
  <c r="K2389" i="1"/>
  <c r="K2443" i="1"/>
  <c r="K1988" i="1"/>
  <c r="K2158" i="1"/>
  <c r="K2166" i="1"/>
  <c r="K2225" i="1"/>
  <c r="K2327" i="1"/>
  <c r="K2334" i="1"/>
  <c r="K2439" i="1"/>
</calcChain>
</file>

<file path=xl/sharedStrings.xml><?xml version="1.0" encoding="utf-8"?>
<sst xmlns="http://schemas.openxmlformats.org/spreadsheetml/2006/main" count="12439" uniqueCount="1979">
  <si>
    <t>Group</t>
  </si>
  <si>
    <t>Year</t>
  </si>
  <si>
    <t>Ultimate Parent Name</t>
  </si>
  <si>
    <t>Borrower/Issuer Name</t>
  </si>
  <si>
    <t>Palm oil</t>
  </si>
  <si>
    <t>Pulp &amp; paper</t>
  </si>
  <si>
    <t>Rubber</t>
  </si>
  <si>
    <t>Timber</t>
  </si>
  <si>
    <t>Notes</t>
  </si>
  <si>
    <t>Source</t>
  </si>
  <si>
    <t>Fill check</t>
  </si>
  <si>
    <t xml:space="preserve">Albukhary Group </t>
  </si>
  <si>
    <t>Restu Jernih Sdn Bhd</t>
  </si>
  <si>
    <t>AMALAN PELITA PASAI SDN BHD</t>
  </si>
  <si>
    <t>EMIS (2016, November), Amalan Pelita Pasai</t>
  </si>
  <si>
    <t>EMIS (2016, November), Amalan Pelita Pasai.</t>
  </si>
  <si>
    <t>Perspective Lane</t>
  </si>
  <si>
    <t>Planted area.</t>
  </si>
  <si>
    <t>Tradewinds Plantation (n.d.), "Overview", online: https://www.tpb.com.my/page/209/Overview/, viewed in September 2019.</t>
  </si>
  <si>
    <t>PERSPECTIVE LANE MM SDN BHD</t>
  </si>
  <si>
    <t>Figures from Tradewind are used as it is the major subsidiary of Perspective Lane: Segment assets from 2011, it was privatized afterwards Rubber and palm oil split according to planted area</t>
  </si>
  <si>
    <t>Perspective Lane(M)Sdn Bhd</t>
  </si>
  <si>
    <t>Tradewinds (M) (2012, June), Annual Report 2011: Synergistic Value, Success through Precision, p. 54, 185.</t>
  </si>
  <si>
    <t>Tradewinds M Bhd</t>
  </si>
  <si>
    <t>TRADEWINDS M BHD</t>
  </si>
  <si>
    <t>Segment assets from 2011, it was privatized afterwards Rubber and palm oil split according to planted area</t>
  </si>
  <si>
    <r>
      <t xml:space="preserve">Tradewinds (M) (2012, June), </t>
    </r>
    <r>
      <rPr>
        <i/>
        <sz val="11"/>
        <color theme="1"/>
        <rFont val="Calibri"/>
        <family val="2"/>
        <scheme val="minor"/>
      </rPr>
      <t>Annual Report 2011: Synergistic Value, Success through Precision</t>
    </r>
    <r>
      <rPr>
        <sz val="11"/>
        <color theme="1"/>
        <rFont val="Calibri"/>
        <family val="2"/>
        <scheme val="minor"/>
      </rPr>
      <t>, p. 54, 185.</t>
    </r>
  </si>
  <si>
    <t>Tradewinds Malaysia</t>
  </si>
  <si>
    <t>Tradewinds Plantation</t>
  </si>
  <si>
    <t>Tradewinds Plantation Capital Sdn Bhd</t>
  </si>
  <si>
    <t>Segment assets of Tradewinds Plantation (plantation and manufacturing &amp; trading)</t>
  </si>
  <si>
    <r>
      <t xml:space="preserve">Tradewinds Plantation (2012, May), </t>
    </r>
    <r>
      <rPr>
        <i/>
        <sz val="11"/>
        <rFont val="Calibri"/>
        <family val="2"/>
        <scheme val="minor"/>
      </rPr>
      <t>Annual Report 2011</t>
    </r>
    <r>
      <rPr>
        <sz val="11"/>
        <rFont val="Calibri"/>
        <family val="2"/>
        <scheme val="minor"/>
      </rPr>
      <t>, p. 163.</t>
    </r>
  </si>
  <si>
    <t>Anglo-Eastern Group</t>
  </si>
  <si>
    <t>Anglo-Eastern Plantations PLC</t>
  </si>
  <si>
    <t>Proportion of total sales revenues</t>
  </si>
  <si>
    <r>
      <t xml:space="preserve">Anglo-Eastern Plantations (2016, August), </t>
    </r>
    <r>
      <rPr>
        <i/>
        <sz val="11"/>
        <color theme="1"/>
        <rFont val="Calibri"/>
        <family val="2"/>
        <scheme val="minor"/>
      </rPr>
      <t>Interim Report 30 June 2016</t>
    </r>
    <r>
      <rPr>
        <sz val="11"/>
        <color theme="1"/>
        <rFont val="Calibri"/>
        <family val="2"/>
        <scheme val="minor"/>
      </rPr>
      <t>, p. 21.</t>
    </r>
  </si>
  <si>
    <r>
      <t xml:space="preserve">Anglo-Eastern Plantations (2016, August), </t>
    </r>
    <r>
      <rPr>
        <i/>
        <sz val="11"/>
        <color theme="1"/>
        <rFont val="Calibri"/>
        <family val="2"/>
        <scheme val="minor"/>
      </rPr>
      <t>Interim Report 30 June 2016</t>
    </r>
    <r>
      <rPr>
        <sz val="11"/>
        <color theme="1"/>
        <rFont val="Calibri"/>
        <family val="2"/>
        <scheme val="minor"/>
      </rPr>
      <t>, p. 19.</t>
    </r>
  </si>
  <si>
    <t>Anglo-Eastern Plantations (2018, April), Annual Report 2017, p. 72.</t>
  </si>
  <si>
    <t>Planted area. Group has one reporting segment, plantation.</t>
  </si>
  <si>
    <t>Anglo-Eastern Plantations (2019, May), Annual Report 2018, p. 29.</t>
  </si>
  <si>
    <t>Archer Daniels Midland</t>
  </si>
  <si>
    <t>Archer-Daniels-Midland Co</t>
  </si>
  <si>
    <t>ALFRED C TOEPFER INTERNATION</t>
  </si>
  <si>
    <t>Segment additions to property, plant and equipment. ADM has five reportable operating segments: Agricultural Services; Corn Processing; Oilseeds Processing; Other, and; Corporate. It is assumed that palm oil activities are included in the Oilseeds Processing segment. There are 7 product sub-categories among ADM's Oils product category, one of which is Palm Products. The palm oil adjuster is therefore 1/7 of the Oilseeds Processing segment. No further disaggregation could be identified.</t>
  </si>
  <si>
    <t>Archer Daniels Midland (2014), 2013 Form 10-K, p. FS-101; Archer Daniels Midland (2018, August), "Oils", online: https://www.adm.com/products-services/food/oils, viewed in August 2018.</t>
  </si>
  <si>
    <t>Archer Daniels Midland Co</t>
  </si>
  <si>
    <t>Segment additions to property, plant and equipment. ADM has six reportable operating segments: Agricultural Services; Corn Processing; Oilseeds Processing; Wild Flavors and Specialty Ingredients; Other, and; Corporate. It is assumed that palm oil activities are included in the Oilseeds Processing segment. There are 7 product sub-categories among ADM's Oils product category, one of which is Palm Products. The palm oil adjuster is therefore 1/7 of the Oilseeds Processing segment. No further disaggregation could be identified.</t>
  </si>
  <si>
    <t>Archer Daniels Midland (2016), 2015 Form 10-K, p. FS-101; Archer Daniels Midland (2018, August), "Oils", online: https://www.adm.com/products-services/food/oils, viewed in August 2018.</t>
  </si>
  <si>
    <t>Archer Daniels Midland (2018, March), 2017 Form 10-K, p. FS-101; Archer Daniels Midland (2018, August), "Oils", online: https://www.adm.com/products-services/food/oils, viewed in August 2018.</t>
  </si>
  <si>
    <t>Segment additions to property, plant and equipment. "The Company’s operations are organized, managed, and classified into four reportable business segments: Origination, Oilseeds, Carbohydrate Solutions, and Nutrition". There are 7 product sub-categories among ADM's Oilseeds product category, one of which is Palm Products. The palm oil adjuster is therefore 1/7 of the Oilseeds Processing segment. No further disaggregation could be identified.</t>
  </si>
  <si>
    <t>Archer Daniels Midland (2019, March), 2018 Form 10-K, p. FS-100, 105; Archer Daniels Midland (2018, August), "Oils", online: https://www.adm.com/products-services/food/oils, viewed in August 2018.</t>
  </si>
  <si>
    <t>ARCHER DANIELS MIDLAND CO</t>
  </si>
  <si>
    <t>ARCHER-DANIELS-MIDLAND C</t>
  </si>
  <si>
    <t>Archer Daniels Midland (2012), 2011 Form 10-K, p. FS-96; Archer Daniels Midland (2018, August), "Oils", online: https://www.adm.com/products-services/food/oils, viewed in August 2018.</t>
  </si>
  <si>
    <t>Archer Daniels Midland (2015), 2014 Form 10-K, p. FS-104; Archer Daniels Midland (2018, August), "Oils", online: https://www.adm.com/products-services/food/oils, viewed in August 2018.</t>
  </si>
  <si>
    <t>ARCHER-DANIELS-MIDLAND CO</t>
  </si>
  <si>
    <t>Austindo Group</t>
  </si>
  <si>
    <t>Austindo Nusantara Jaya Tbk PT</t>
  </si>
  <si>
    <t>AUSTINDO NUSANTARA JAYA FIN</t>
  </si>
  <si>
    <t>Segment assets of 2012, 2011 figures not available</t>
  </si>
  <si>
    <r>
      <t xml:space="preserve">Austindo Nusantara Jaya (2014, March), </t>
    </r>
    <r>
      <rPr>
        <i/>
        <sz val="11"/>
        <color theme="1"/>
        <rFont val="Calibri"/>
        <family val="2"/>
        <scheme val="minor"/>
      </rPr>
      <t>Consolidated Financial Statements and Supplementary Information</t>
    </r>
    <r>
      <rPr>
        <sz val="11"/>
        <color theme="1"/>
        <rFont val="Calibri"/>
        <family val="2"/>
        <scheme val="minor"/>
      </rPr>
      <t>, p. 105.</t>
    </r>
  </si>
  <si>
    <t>AUSTINDO NUSANTARA JAYA PT</t>
  </si>
  <si>
    <t>Segment assets</t>
  </si>
  <si>
    <t>Segment capital expenditures. "the Group is segmented into 4 segments based on product line, comprising of palm oil, sago, energy and others."</t>
  </si>
  <si>
    <r>
      <t xml:space="preserve">Austindo Nusantara Jaya (2019, May), </t>
    </r>
    <r>
      <rPr>
        <i/>
        <sz val="11"/>
        <color theme="1"/>
        <rFont val="Calibri"/>
        <family val="2"/>
        <scheme val="minor"/>
      </rPr>
      <t>Annual Report 2018: Consolidating Resources for Responsible Development</t>
    </r>
    <r>
      <rPr>
        <sz val="11"/>
        <color theme="1"/>
        <rFont val="Calibri"/>
        <family val="2"/>
        <scheme val="minor"/>
      </rPr>
      <t>, p. FS-81, 83.</t>
    </r>
  </si>
  <si>
    <r>
      <t xml:space="preserve">Austindo Nusantara Jaya (2017, March), </t>
    </r>
    <r>
      <rPr>
        <i/>
        <sz val="11"/>
        <color theme="1"/>
        <rFont val="Calibri"/>
        <family val="2"/>
        <scheme val="minor"/>
      </rPr>
      <t>Consolidated Financial Statements and Supplementary Information</t>
    </r>
    <r>
      <rPr>
        <sz val="11"/>
        <color theme="1"/>
        <rFont val="Calibri"/>
        <family val="2"/>
        <scheme val="minor"/>
      </rPr>
      <t>, p. 107.</t>
    </r>
  </si>
  <si>
    <t>Gading Mas Indonesia Teguh</t>
  </si>
  <si>
    <t>Tobacco until 2012.</t>
  </si>
  <si>
    <r>
      <t xml:space="preserve">Austindo Nusantara Jaya (2017, April), </t>
    </r>
    <r>
      <rPr>
        <i/>
        <sz val="11"/>
        <color theme="1"/>
        <rFont val="Calibri"/>
        <family val="2"/>
        <scheme val="minor"/>
      </rPr>
      <t>Annual Report 2016: Responsible Development - Balancing Growth and Sustainability</t>
    </r>
    <r>
      <rPr>
        <sz val="11"/>
        <color theme="1"/>
        <rFont val="Calibri"/>
        <family val="2"/>
        <scheme val="minor"/>
      </rPr>
      <t>, p. 29.</t>
    </r>
  </si>
  <si>
    <t>Non-active</t>
  </si>
  <si>
    <t>Formerly tobacco now edamame.</t>
  </si>
  <si>
    <t>Kayung Agro Lestari</t>
  </si>
  <si>
    <t>Oil palm plantation.</t>
  </si>
  <si>
    <r>
      <t xml:space="preserve">Austindo Nusantara Jaya (2017, April), </t>
    </r>
    <r>
      <rPr>
        <i/>
        <sz val="11"/>
        <color theme="1"/>
        <rFont val="Calibri"/>
        <family val="2"/>
        <scheme val="minor"/>
      </rPr>
      <t>Annual Report 2016: Responsible Development - Balancing Growth and Sustainability</t>
    </r>
    <r>
      <rPr>
        <sz val="11"/>
        <color theme="1"/>
        <rFont val="Calibri"/>
        <family val="2"/>
        <scheme val="minor"/>
      </rPr>
      <t>, p. 27.</t>
    </r>
  </si>
  <si>
    <t>Bakrie Group</t>
  </si>
  <si>
    <t>Bakrie and Brothers Tbk PT</t>
  </si>
  <si>
    <t>BAKRIE &amp; BROTHERS</t>
  </si>
  <si>
    <t>BSP adjusters applied to BSP proportion of B&amp;B total assets.</t>
  </si>
  <si>
    <t>Bakrie &amp; Brothers (2013, April), 2012 Annual Report: Moving Upward, p. 219.</t>
  </si>
  <si>
    <t>Bakrie &amp; Brothers Tbk PT</t>
  </si>
  <si>
    <t>Segment assets from 2009, for some reason 2010 figures were missing</t>
  </si>
  <si>
    <r>
      <t xml:space="preserve">Bakrie &amp; Brothers (2011, June), </t>
    </r>
    <r>
      <rPr>
        <i/>
        <sz val="11"/>
        <color theme="1"/>
        <rFont val="Calibri"/>
        <family val="2"/>
        <scheme val="minor"/>
      </rPr>
      <t>2010 Annual Report: Building a Global Position</t>
    </r>
    <r>
      <rPr>
        <sz val="11"/>
        <color theme="1"/>
        <rFont val="Calibri"/>
        <family val="2"/>
        <scheme val="minor"/>
      </rPr>
      <t>, p. 338.</t>
    </r>
  </si>
  <si>
    <t>Bakrie &amp; Brothers</t>
  </si>
  <si>
    <t>Bakrie &amp; Brothers (2016, June), Annual Report 2015: Emerging Potential, p. 227, 283; Bakrie Sumatera Plantation (2015, April), Annual Report 2014: Fortifying Growth, Sustaining Values, p. FS-119.</t>
  </si>
  <si>
    <r>
      <t xml:space="preserve">Bakrie &amp; Brothers (2016, June), Annual Report 2015: Emerging Potential, p. 227, 283; Bakrie Sumatera Plantation (2015, April), </t>
    </r>
    <r>
      <rPr>
        <i/>
        <sz val="11"/>
        <color theme="1"/>
        <rFont val="Calibri"/>
        <family val="2"/>
        <scheme val="minor"/>
      </rPr>
      <t>Annual Report 2014: Fortifying Growth, Sustaining Values</t>
    </r>
    <r>
      <rPr>
        <sz val="11"/>
        <color theme="1"/>
        <rFont val="Calibri"/>
        <family val="2"/>
        <scheme val="minor"/>
      </rPr>
      <t>, p. FS-118.</t>
    </r>
  </si>
  <si>
    <r>
      <t xml:space="preserve">Bakrie Sumatera Plantations (2018, June), </t>
    </r>
    <r>
      <rPr>
        <i/>
        <sz val="11"/>
        <color theme="1"/>
        <rFont val="Calibri"/>
        <family val="2"/>
        <scheme val="minor"/>
      </rPr>
      <t>2017 Annual Report: Optimizing Productivity, Enhancing Quality</t>
    </r>
    <r>
      <rPr>
        <sz val="11"/>
        <color theme="1"/>
        <rFont val="Calibri"/>
        <family val="2"/>
        <scheme val="minor"/>
      </rPr>
      <t xml:space="preserve">, p. FS-103; Bakrie &amp; Brothers (2018, April), </t>
    </r>
    <r>
      <rPr>
        <i/>
        <sz val="11"/>
        <color theme="1"/>
        <rFont val="Calibri"/>
        <family val="2"/>
        <scheme val="minor"/>
      </rPr>
      <t>Annual Report 2017: Exploring Our Strength</t>
    </r>
    <r>
      <rPr>
        <sz val="11"/>
        <color theme="1"/>
        <rFont val="Calibri"/>
        <family val="2"/>
        <scheme val="minor"/>
      </rPr>
      <t>, p. 260, 307.</t>
    </r>
  </si>
  <si>
    <r>
      <t xml:space="preserve">Bakrie Sumatera Plantations (2019, April), </t>
    </r>
    <r>
      <rPr>
        <i/>
        <sz val="11"/>
        <color theme="1"/>
        <rFont val="Calibri"/>
        <family val="2"/>
        <scheme val="minor"/>
      </rPr>
      <t>2018 Annual Report: Innovation and Efficiency Towards Sustainable Productivity</t>
    </r>
    <r>
      <rPr>
        <sz val="11"/>
        <color theme="1"/>
        <rFont val="Calibri"/>
        <family val="2"/>
        <scheme val="minor"/>
      </rPr>
      <t xml:space="preserve">, p. FS-104; Bakrie &amp; Brothers (2019, May), </t>
    </r>
    <r>
      <rPr>
        <i/>
        <sz val="11"/>
        <color theme="1"/>
        <rFont val="Calibri"/>
        <family val="2"/>
        <scheme val="minor"/>
      </rPr>
      <t>Annual Report 2018: Embracing the Future of Indonesia</t>
    </r>
    <r>
      <rPr>
        <sz val="11"/>
        <color theme="1"/>
        <rFont val="Calibri"/>
        <family val="2"/>
        <scheme val="minor"/>
      </rPr>
      <t>, p. 259, 309.</t>
    </r>
  </si>
  <si>
    <t>Bakrie Sumatera Plantations Tb</t>
  </si>
  <si>
    <t>BAKRIE SUMATERA PLANT</t>
  </si>
  <si>
    <t>Segment assets. BSP reports three segments: PO, rubber &amp; oleochemicals - PO derivaties.</t>
  </si>
  <si>
    <r>
      <t xml:space="preserve">Bakrie Sumatera Plantations (2013, June), </t>
    </r>
    <r>
      <rPr>
        <i/>
        <sz val="11"/>
        <rFont val="Calibri"/>
        <family val="2"/>
        <scheme val="minor"/>
      </rPr>
      <t>2012 Annual Report: On Solid Ground</t>
    </r>
    <r>
      <rPr>
        <sz val="11"/>
        <rFont val="Calibri"/>
        <family val="2"/>
        <scheme val="minor"/>
      </rPr>
      <t>, p. 304.</t>
    </r>
  </si>
  <si>
    <t>Bakrie Sumatera Plantations</t>
  </si>
  <si>
    <t>Bakrie Sumatera Plantations Tbk PT</t>
  </si>
  <si>
    <t>Segment assets. BSP reports two segments: oil palm &amp; derivaties, and rubber.</t>
  </si>
  <si>
    <r>
      <t xml:space="preserve">Bakrie Sumatera Plantations (2011, May), </t>
    </r>
    <r>
      <rPr>
        <i/>
        <sz val="11"/>
        <rFont val="Calibri"/>
        <family val="2"/>
        <scheme val="minor"/>
      </rPr>
      <t>2010 Annual Report: Creating a New Cycle - Towards Balancing Economic Aspirations with Ecological Imperatives</t>
    </r>
    <r>
      <rPr>
        <sz val="11"/>
        <rFont val="Calibri"/>
        <family val="2"/>
        <scheme val="minor"/>
      </rPr>
      <t>, p. 263.</t>
    </r>
  </si>
  <si>
    <r>
      <t xml:space="preserve">Bakrie Sumatera Plantations (2013, June), </t>
    </r>
    <r>
      <rPr>
        <i/>
        <sz val="11"/>
        <rFont val="Calibri"/>
        <family val="2"/>
        <scheme val="minor"/>
      </rPr>
      <t>2012 Annual Report: On Solid Ground</t>
    </r>
    <r>
      <rPr>
        <sz val="11"/>
        <rFont val="Calibri"/>
        <family val="2"/>
        <scheme val="minor"/>
      </rPr>
      <t>, p. 303.</t>
    </r>
  </si>
  <si>
    <r>
      <t xml:space="preserve">Bakrie Sumatera Plantations (2016, May), </t>
    </r>
    <r>
      <rPr>
        <i/>
        <sz val="11"/>
        <color theme="1"/>
        <rFont val="Calibri"/>
        <family val="2"/>
        <scheme val="minor"/>
      </rPr>
      <t>2015 Annual Report: Innovating Growth, Revitalizing Sustainability</t>
    </r>
    <r>
      <rPr>
        <sz val="11"/>
        <color theme="1"/>
        <rFont val="Calibri"/>
        <family val="2"/>
        <scheme val="minor"/>
      </rPr>
      <t>, p. 122.</t>
    </r>
  </si>
  <si>
    <r>
      <t xml:space="preserve">Bakrie Sumatera Plantations (2018, June), </t>
    </r>
    <r>
      <rPr>
        <i/>
        <sz val="11"/>
        <color theme="1"/>
        <rFont val="Calibri"/>
        <family val="2"/>
        <scheme val="minor"/>
      </rPr>
      <t>2017 Annual Report: Optimizing Productivity, Enhancing Quality</t>
    </r>
    <r>
      <rPr>
        <sz val="11"/>
        <color theme="1"/>
        <rFont val="Calibri"/>
        <family val="2"/>
        <scheme val="minor"/>
      </rPr>
      <t>, p. FS-103.</t>
    </r>
  </si>
  <si>
    <t>Citalaras Cipta Indonesia</t>
  </si>
  <si>
    <t>Business description</t>
  </si>
  <si>
    <t>Bloomberg Business (nd), "Company overview of PT Citalaras Cipta Indonesia", online: http://wwwbloombergcom/research/stocks/private/snapshotasp?privcapId=90035352, viewed in November 2015</t>
  </si>
  <si>
    <t>Business description.</t>
  </si>
  <si>
    <r>
      <t xml:space="preserve">Bakrie Sumatera Plantations (2016, May), </t>
    </r>
    <r>
      <rPr>
        <i/>
        <sz val="11"/>
        <color theme="1"/>
        <rFont val="Calibri"/>
        <family val="2"/>
        <scheme val="minor"/>
      </rPr>
      <t>2015 Annual Report: Innovating Growth, Revitalizing Sustainability</t>
    </r>
    <r>
      <rPr>
        <sz val="11"/>
        <color theme="1"/>
        <rFont val="Calibri"/>
        <family val="2"/>
        <scheme val="minor"/>
      </rPr>
      <t>, p. 18.</t>
    </r>
  </si>
  <si>
    <t>DOMAS AGROINTI PRIMA PT</t>
  </si>
  <si>
    <t>Downstream manufacturing into cooking oil, fatty acid and fatty alcohol.</t>
  </si>
  <si>
    <t>Grahadura Leidong Prima</t>
  </si>
  <si>
    <t>Bloomberg Business (nd), "Company overview of PT Grahadura Leidong Prima", online: http://wwwbloombergcom/research/stocks/private/snapshotasp?privcapId=33839049, viewed in November 2015</t>
  </si>
  <si>
    <t>INTI KEMITRAAN PERDANA</t>
  </si>
  <si>
    <t>Bakrie Sumatera Plantations (2014, April), 2013 Annual Report, p 23</t>
  </si>
  <si>
    <t>Julang Oca Permana</t>
  </si>
  <si>
    <r>
      <t xml:space="preserve">Bakrie Sumatera Plantations (2016, May), </t>
    </r>
    <r>
      <rPr>
        <i/>
        <sz val="11"/>
        <color theme="1"/>
        <rFont val="Calibri"/>
        <family val="2"/>
        <scheme val="minor"/>
      </rPr>
      <t>2015 Annual Report: Innovating Growth, Revitalizing Sustainability</t>
    </r>
    <r>
      <rPr>
        <sz val="11"/>
        <color theme="1"/>
        <rFont val="Calibri"/>
        <family val="2"/>
        <scheme val="minor"/>
      </rPr>
      <t>, p. 19.</t>
    </r>
  </si>
  <si>
    <t>MONRAD INTAN BARAKAT PT</t>
  </si>
  <si>
    <r>
      <t xml:space="preserve">Bakrie Sumatera Plantations (2011, May), </t>
    </r>
    <r>
      <rPr>
        <i/>
        <sz val="11"/>
        <rFont val="Calibri"/>
        <family val="2"/>
        <scheme val="minor"/>
      </rPr>
      <t>2010 Annual Report: Creating a New Cycle - Towards Balancing Economic Aspirations with Ecological Imperatives</t>
    </r>
    <r>
      <rPr>
        <sz val="11"/>
        <rFont val="Calibri"/>
        <family val="2"/>
        <scheme val="minor"/>
      </rPr>
      <t>, p. 23.</t>
    </r>
  </si>
  <si>
    <t>Nibung Arhamulia</t>
  </si>
  <si>
    <r>
      <t xml:space="preserve">Bakrie Sumatera Plantations (2016, May), </t>
    </r>
    <r>
      <rPr>
        <i/>
        <sz val="11"/>
        <color theme="1"/>
        <rFont val="Calibri"/>
        <family val="2"/>
        <scheme val="minor"/>
      </rPr>
      <t>2015 Annual Report: Innovating Growth, Revitalizing Sustainability</t>
    </r>
    <r>
      <rPr>
        <sz val="11"/>
        <color theme="1"/>
        <rFont val="Calibri"/>
        <family val="2"/>
        <scheme val="minor"/>
      </rPr>
      <t>, p. 17.</t>
    </r>
  </si>
  <si>
    <t>PT BAKRIE &amp; BROTHERS TBK</t>
  </si>
  <si>
    <t>Barito Pacific Group</t>
  </si>
  <si>
    <t>Barito Pacific</t>
  </si>
  <si>
    <t>Segment capital exenditures. Barito Pacific has six reportable operating segments: Petrochemical; Wood manufacturing; Logging; Glue; Property, and; Plantations. Palm oil adjuster is based on Plantations segment, timber adjusters is based on Wood manufacturing and Logging segments.</t>
  </si>
  <si>
    <r>
      <t xml:space="preserve">Barito Pacific (2011, April), </t>
    </r>
    <r>
      <rPr>
        <i/>
        <sz val="11"/>
        <color theme="1"/>
        <rFont val="Calibri"/>
        <family val="2"/>
        <scheme val="minor"/>
      </rPr>
      <t>Consolidated Financial Statements for the Years Ended December 31, 2010 and 2009</t>
    </r>
    <r>
      <rPr>
        <sz val="11"/>
        <color theme="1"/>
        <rFont val="Calibri"/>
        <family val="2"/>
        <scheme val="minor"/>
      </rPr>
      <t>, p. 73.</t>
    </r>
  </si>
  <si>
    <t>Segment capital expenditures. Barito Pacific has six reportable operating segments: Petrochemical; Wood manufacturing; Logging; Glue; Property, and; Plantations. Palm oil adjuster is based on Plantations segment, timber adjusters is based on Wood manufacturing and Logging segments.</t>
  </si>
  <si>
    <r>
      <t xml:space="preserve">Barito Pacific (2012, March), </t>
    </r>
    <r>
      <rPr>
        <i/>
        <sz val="11"/>
        <color theme="1"/>
        <rFont val="Calibri"/>
        <family val="2"/>
        <scheme val="minor"/>
      </rPr>
      <t>Consolidated Financial Statements for the Years Ended December 31, 2011 and 2010</t>
    </r>
    <r>
      <rPr>
        <sz val="11"/>
        <color theme="1"/>
        <rFont val="Calibri"/>
        <family val="2"/>
        <scheme val="minor"/>
      </rPr>
      <t>, p. 80.</t>
    </r>
  </si>
  <si>
    <t>Segment capital expenditures. Barito Pacific has four reportable operating segments: Petrochemical; Wood manufacturing;  Property, and; Plantations. Palm oil adjuster is based on Plantations segment, timber adjusters is based on Wood manufacturing segment.</t>
  </si>
  <si>
    <r>
      <t xml:space="preserve">Barito Pacific (2014, April), </t>
    </r>
    <r>
      <rPr>
        <i/>
        <sz val="11"/>
        <color theme="1"/>
        <rFont val="Calibri"/>
        <family val="2"/>
        <scheme val="minor"/>
      </rPr>
      <t>Annual Report 2013: Business Performance through Reinforcement of Values</t>
    </r>
    <r>
      <rPr>
        <sz val="11"/>
        <color theme="1"/>
        <rFont val="Calibri"/>
        <family val="2"/>
        <scheme val="minor"/>
      </rPr>
      <t>, p. FS-77.</t>
    </r>
  </si>
  <si>
    <r>
      <t xml:space="preserve">Barito Pacific (2018, May), </t>
    </r>
    <r>
      <rPr>
        <i/>
        <sz val="11"/>
        <color theme="1"/>
        <rFont val="Calibri"/>
        <family val="2"/>
        <scheme val="minor"/>
      </rPr>
      <t>2017 Annual Report: Transforming for Better Future</t>
    </r>
    <r>
      <rPr>
        <sz val="11"/>
        <color theme="1"/>
        <rFont val="Calibri"/>
        <family val="2"/>
        <scheme val="minor"/>
      </rPr>
      <t>, p. 219.</t>
    </r>
  </si>
  <si>
    <t>! - undisclosed</t>
  </si>
  <si>
    <t>Barito Pacific Tbk PT</t>
  </si>
  <si>
    <t>Segment capital expenditures. Barito Pacific has four reportable operating segments: Petrochemical; Wood manufacturing;  Building and Hotel Management, and; Energy and Resources. The timber adjuster is based on Wood manufacturing segment.</t>
  </si>
  <si>
    <r>
      <t xml:space="preserve">Barito Pacific (2019, April), </t>
    </r>
    <r>
      <rPr>
        <i/>
        <sz val="11"/>
        <color theme="1"/>
        <rFont val="Calibri"/>
        <family val="2"/>
        <scheme val="minor"/>
      </rPr>
      <t>2018 Annual Report: Delivering Diversity and Sustainable Growth</t>
    </r>
    <r>
      <rPr>
        <sz val="11"/>
        <color theme="1"/>
        <rFont val="Calibri"/>
        <family val="2"/>
        <scheme val="minor"/>
      </rPr>
      <t>, p. 323.</t>
    </r>
  </si>
  <si>
    <t>Barito Pacific TBK PT</t>
  </si>
  <si>
    <t>Magna Resources Corp Pte Ltd</t>
  </si>
  <si>
    <t>GRAND UTAMA MANDIRI PT</t>
  </si>
  <si>
    <t>Barito Pacific (n.d.), "PT Grand Utama Mandiri", online: http://www.barito-pacific.com/index.php/business/detail/9, viewed in March 2017.</t>
  </si>
  <si>
    <t>TINTIN BOYOK SAWIT MAKMUR</t>
  </si>
  <si>
    <t>Barito Pacific (n.d.), "PT Tintin Boyok Sawit Makmur 1 &amp; 2", online: http://www.barito-pacific.com/index.php/business/detail/6, viewed in March 2017.</t>
  </si>
  <si>
    <t>Barry Callebaut</t>
  </si>
  <si>
    <t>Barry Callebaut AG</t>
  </si>
  <si>
    <t>REMOVE</t>
  </si>
  <si>
    <t>Jacobs Holding AG</t>
  </si>
  <si>
    <t>BARRY CALLEBAUT AG-REG</t>
  </si>
  <si>
    <t>First Pacific Co Ltd/Hong Kong</t>
  </si>
  <si>
    <t>BARRY CALLEBAUT SERVICES NV</t>
  </si>
  <si>
    <t>DELFI COCOA EUROPE BV</t>
  </si>
  <si>
    <t>Batu Kawan Group</t>
  </si>
  <si>
    <t>BATU KAWAN BHD</t>
  </si>
  <si>
    <t>Segment capital expenditures. Batu Kawan has four reportable operating segments:  Investment Holdings;  Chemicals; Plantations, and; Investment Properties. Adjusters for PO and rubber are based on planted area proportions applied to Plantation; Chemicals segment data, although Chemicals also includes non-relevant chemicals.</t>
  </si>
  <si>
    <t>Batu Kawan (2014, December), 2014 Annual Report, p. 12, 114.</t>
  </si>
  <si>
    <t>Segment capital expenditures. Batu Kawan has four reportable operating segments: Plantation; Manufacturing; Property Development, and; Investment Holdings/Others. Adjusters for PO and rubber are based on planted area proportions applied to Plantation; Manufacturing segment data.</t>
  </si>
  <si>
    <r>
      <t xml:space="preserve">Batu Kawan (2016, December), </t>
    </r>
    <r>
      <rPr>
        <i/>
        <sz val="11"/>
        <color theme="1"/>
        <rFont val="Calibri"/>
        <family val="2"/>
        <scheme val="minor"/>
      </rPr>
      <t>2016 Annual Report</t>
    </r>
    <r>
      <rPr>
        <sz val="11"/>
        <color theme="1"/>
        <rFont val="Calibri"/>
        <family val="2"/>
        <scheme val="minor"/>
      </rPr>
      <t>, p. 14, 115, 117.</t>
    </r>
  </si>
  <si>
    <t>Batu Kawan Bhd</t>
  </si>
  <si>
    <r>
      <t xml:space="preserve">Batu Kawan (2017, December), </t>
    </r>
    <r>
      <rPr>
        <i/>
        <sz val="11"/>
        <color theme="1"/>
        <rFont val="Calibri"/>
        <family val="2"/>
        <scheme val="minor"/>
      </rPr>
      <t>2017 Annual Report</t>
    </r>
    <r>
      <rPr>
        <sz val="11"/>
        <color theme="1"/>
        <rFont val="Calibri"/>
        <family val="2"/>
        <scheme val="minor"/>
      </rPr>
      <t>, p. 33-34, 135.</t>
    </r>
  </si>
  <si>
    <t>Batu Kawan</t>
  </si>
  <si>
    <r>
      <t xml:space="preserve">Batu Kawan (2018, December), </t>
    </r>
    <r>
      <rPr>
        <i/>
        <sz val="11"/>
        <color theme="1"/>
        <rFont val="Calibri"/>
        <family val="2"/>
        <scheme val="minor"/>
      </rPr>
      <t>2018 Annual Report</t>
    </r>
    <r>
      <rPr>
        <sz val="11"/>
        <color theme="1"/>
        <rFont val="Calibri"/>
        <family val="2"/>
        <scheme val="minor"/>
      </rPr>
      <t>, p. 32, 140, 143.</t>
    </r>
  </si>
  <si>
    <t>Equatorial Palm Oil PLC</t>
  </si>
  <si>
    <t>The Group operates in the business segment of the evaluation and development of the cultivation of oil palms.</t>
  </si>
  <si>
    <r>
      <t xml:space="preserve">Equatorial Palm Oil (2011, March), </t>
    </r>
    <r>
      <rPr>
        <i/>
        <sz val="11"/>
        <color theme="1"/>
        <rFont val="Calibri"/>
        <family val="2"/>
        <scheme val="minor"/>
      </rPr>
      <t xml:space="preserve">Annual Report and Accounts for the year ended September 31, 2010: Growing into Production, </t>
    </r>
    <r>
      <rPr>
        <sz val="11"/>
        <color theme="1"/>
        <rFont val="Calibri"/>
        <family val="2"/>
        <scheme val="minor"/>
      </rPr>
      <t>p. 33.</t>
    </r>
  </si>
  <si>
    <t>In the opinion of the Directors, the operations of the Group comprise one class of business, being the cultivation of oil palms for the production of crude palm oil and associated products in Liberia.</t>
  </si>
  <si>
    <r>
      <t xml:space="preserve">Equatorial Palm Oil (2014, April), </t>
    </r>
    <r>
      <rPr>
        <i/>
        <sz val="11"/>
        <color theme="1"/>
        <rFont val="Calibri"/>
        <family val="2"/>
        <scheme val="minor"/>
      </rPr>
      <t xml:space="preserve">Annual Report and Accounts for the year ended September 31, 2013, </t>
    </r>
    <r>
      <rPr>
        <sz val="11"/>
        <color theme="1"/>
        <rFont val="Calibri"/>
        <family val="2"/>
        <scheme val="minor"/>
      </rPr>
      <t>p. 25.</t>
    </r>
  </si>
  <si>
    <r>
      <t xml:space="preserve">Equatorial Palm Oil (2015, December), </t>
    </r>
    <r>
      <rPr>
        <i/>
        <sz val="11"/>
        <color theme="1"/>
        <rFont val="Calibri"/>
        <family val="2"/>
        <scheme val="minor"/>
      </rPr>
      <t xml:space="preserve">Annual Report and Accounts for the year ended September 31, 2015, </t>
    </r>
    <r>
      <rPr>
        <sz val="11"/>
        <color theme="1"/>
        <rFont val="Calibri"/>
        <family val="2"/>
        <scheme val="minor"/>
      </rPr>
      <t>p. 24.</t>
    </r>
  </si>
  <si>
    <r>
      <t xml:space="preserve">Equatorial Palm Oil (2016, November), </t>
    </r>
    <r>
      <rPr>
        <i/>
        <sz val="11"/>
        <color theme="1"/>
        <rFont val="Calibri"/>
        <family val="2"/>
        <scheme val="minor"/>
      </rPr>
      <t xml:space="preserve">Annual Report and Accounts for the year ended September 31, 2016, </t>
    </r>
    <r>
      <rPr>
        <sz val="11"/>
        <color theme="1"/>
        <rFont val="Calibri"/>
        <family val="2"/>
        <scheme val="minor"/>
      </rPr>
      <t>p. 25.</t>
    </r>
  </si>
  <si>
    <t>Equatorial Palm Oil</t>
  </si>
  <si>
    <t>"In the opinion of the Directors, the operations of the Group comprise one class of business, being the cultivation of oil palms for the production of crude palm oil and associated products in Liberia."</t>
  </si>
  <si>
    <r>
      <t xml:space="preserve">Equatorial Palm Oil (2018, December), </t>
    </r>
    <r>
      <rPr>
        <i/>
        <sz val="11"/>
        <color theme="1"/>
        <rFont val="Calibri"/>
        <family val="2"/>
        <scheme val="minor"/>
      </rPr>
      <t xml:space="preserve">Annual Report and Accounts for the year ended September 31, 2018, </t>
    </r>
    <r>
      <rPr>
        <sz val="11"/>
        <color theme="1"/>
        <rFont val="Calibri"/>
        <family val="2"/>
        <scheme val="minor"/>
      </rPr>
      <t>p. 33.</t>
    </r>
  </si>
  <si>
    <t>Kuala Lumpur Kepong Bhd</t>
  </si>
  <si>
    <t>Segment capital expenditures. KLK has six reportable operating segments: Plantation; Manufacturing; Retailing; Property Development; Investment Holding, and Others. Adjusters for PO and rubber are based on planted area proportions applied to Plantation; Manufacturing segment data.</t>
  </si>
  <si>
    <r>
      <t xml:space="preserve">Kuala Lumpur Kepong (2012, December), </t>
    </r>
    <r>
      <rPr>
        <i/>
        <sz val="11"/>
        <color theme="1"/>
        <rFont val="Calibri"/>
        <family val="2"/>
        <scheme val="minor"/>
      </rPr>
      <t>Annual Report 2012</t>
    </r>
    <r>
      <rPr>
        <sz val="11"/>
        <color theme="1"/>
        <rFont val="Calibri"/>
        <family val="2"/>
        <scheme val="minor"/>
      </rPr>
      <t>, p. 13, 120, 123.</t>
    </r>
  </si>
  <si>
    <t>Segment capital expenditures. KLK has five reportable operating segments: Plantation; Manufacturing;  Property Development; Investment Holding, and Others. Adjusters for PO and rubber are based on planted area proportions applied to Plantation; Manufacturing segment data.</t>
  </si>
  <si>
    <r>
      <t xml:space="preserve">Kuala Lumpur Kepong (2016, December), </t>
    </r>
    <r>
      <rPr>
        <i/>
        <sz val="11"/>
        <color theme="1"/>
        <rFont val="Calibri"/>
        <family val="2"/>
        <scheme val="minor"/>
      </rPr>
      <t>Annual Report 2016</t>
    </r>
    <r>
      <rPr>
        <sz val="11"/>
        <color theme="1"/>
        <rFont val="Calibri"/>
        <family val="2"/>
        <scheme val="minor"/>
      </rPr>
      <t>, p. 17, 144.</t>
    </r>
  </si>
  <si>
    <r>
      <t xml:space="preserve">Segment capital expenditures. KLK has five reportable operating segments: Plantation; Manufacturing;  Property Development; Investment Holding, and Others. Adjusters for PO and rubber are based on planted area proportions applied to Plantation; Manufacturing segment data. </t>
    </r>
    <r>
      <rPr>
        <b/>
        <sz val="11"/>
        <color theme="1"/>
        <rFont val="Calibri"/>
        <family val="2"/>
        <scheme val="minor"/>
      </rPr>
      <t>In QR17-1 no segmentation of capex, and no planted area update, only segmentation of assets and other indicators.</t>
    </r>
  </si>
  <si>
    <r>
      <t xml:space="preserve">Kuala Lumpur Kepong (2017, December), </t>
    </r>
    <r>
      <rPr>
        <i/>
        <sz val="11"/>
        <color theme="1"/>
        <rFont val="Calibri"/>
        <family val="2"/>
        <scheme val="minor"/>
      </rPr>
      <t>Annual Report 2017</t>
    </r>
    <r>
      <rPr>
        <sz val="11"/>
        <color theme="1"/>
        <rFont val="Calibri"/>
        <family val="2"/>
        <scheme val="minor"/>
      </rPr>
      <t>, p. 17, 172.</t>
    </r>
  </si>
  <si>
    <t>Kuala Lumpur Kepong</t>
  </si>
  <si>
    <t xml:space="preserve">Segment capital expenditures. KLK has five reportable operating segments: Plantation; Manufacturing;  Property Development; Investment Holding, and Others. Adjusters for PO and rubber are based on planted area proportions applied to Plantation; Manufacturing segment data. </t>
  </si>
  <si>
    <r>
      <t xml:space="preserve">Kuala Lumpur Kepong (2019, January), </t>
    </r>
    <r>
      <rPr>
        <i/>
        <sz val="11"/>
        <color theme="1"/>
        <rFont val="Calibri"/>
        <family val="2"/>
        <scheme val="minor"/>
      </rPr>
      <t>Annual Report 2018</t>
    </r>
    <r>
      <rPr>
        <sz val="11"/>
        <color theme="1"/>
        <rFont val="Calibri"/>
        <family val="2"/>
        <scheme val="minor"/>
      </rPr>
      <t>, p. 17, 176, 179.</t>
    </r>
  </si>
  <si>
    <t>KUALA LUMPUR KEPONG BHD</t>
  </si>
  <si>
    <t>BLD Group</t>
  </si>
  <si>
    <t>Agrogreen Ventures</t>
  </si>
  <si>
    <t>Oil palm subsidiary.</t>
  </si>
  <si>
    <t>Oil palm plantation and milling.</t>
  </si>
  <si>
    <r>
      <t xml:space="preserve">BLD Plantation (2018, April), </t>
    </r>
    <r>
      <rPr>
        <i/>
        <sz val="11"/>
        <color theme="1"/>
        <rFont val="Calibri"/>
        <family val="2"/>
        <scheme val="minor"/>
      </rPr>
      <t>2017 Annual Report</t>
    </r>
    <r>
      <rPr>
        <sz val="11"/>
        <color theme="1"/>
        <rFont val="Calibri"/>
        <family val="2"/>
        <scheme val="minor"/>
      </rPr>
      <t>, p. 85.</t>
    </r>
  </si>
  <si>
    <t>Bintulu Lumber Development</t>
  </si>
  <si>
    <t>BLD Plantation Bhd</t>
  </si>
  <si>
    <t>Segment assets. BLD Plantations has three reportable operating segments: Milling &amp; Plantation; Refinery &amp; Kernel Crushing, and; Others. Adjuster based on Milling &amp; Plantation; Refinery &amp; Kernel Crushing segments.</t>
  </si>
  <si>
    <r>
      <t xml:space="preserve">BLD Plantation (2014, April), </t>
    </r>
    <r>
      <rPr>
        <i/>
        <sz val="11"/>
        <color theme="1"/>
        <rFont val="Calibri"/>
        <family val="2"/>
        <scheme val="minor"/>
      </rPr>
      <t>Directors’ Report and Audited Financial Statements 31 December 2013</t>
    </r>
    <r>
      <rPr>
        <sz val="11"/>
        <color theme="1"/>
        <rFont val="Calibri"/>
        <family val="2"/>
        <scheme val="minor"/>
      </rPr>
      <t>, p. 80-81.</t>
    </r>
  </si>
  <si>
    <t>"Information about operating segment is not reported separately as the Group is primarily engaged in the oil palm industry in Malaysia."</t>
  </si>
  <si>
    <r>
      <t xml:space="preserve">BLD Plantation (2016, April), </t>
    </r>
    <r>
      <rPr>
        <i/>
        <sz val="11"/>
        <color theme="1"/>
        <rFont val="Calibri"/>
        <family val="2"/>
        <scheme val="minor"/>
      </rPr>
      <t>Annual Report 2015</t>
    </r>
    <r>
      <rPr>
        <sz val="11"/>
        <color theme="1"/>
        <rFont val="Calibri"/>
        <family val="2"/>
        <scheme val="minor"/>
      </rPr>
      <t>, p.104.</t>
    </r>
  </si>
  <si>
    <t>Grand Mutual</t>
  </si>
  <si>
    <t>Kirana Palm Oil Refinery</t>
  </si>
  <si>
    <t>Oil palm refinery</t>
  </si>
  <si>
    <t>Rela Aman</t>
  </si>
  <si>
    <t>Letting of property</t>
  </si>
  <si>
    <t>Bolloré</t>
  </si>
  <si>
    <t>BOLLORE</t>
  </si>
  <si>
    <t>Socfin adjusters applied to proportion of Socfin in Bolloré's total assets.</t>
  </si>
  <si>
    <r>
      <t xml:space="preserve">Bolloré (2018, June), </t>
    </r>
    <r>
      <rPr>
        <i/>
        <sz val="11"/>
        <color theme="1"/>
        <rFont val="Calibri"/>
        <family val="2"/>
        <scheme val="minor"/>
      </rPr>
      <t>2017 Registration Document</t>
    </r>
    <r>
      <rPr>
        <sz val="11"/>
        <color theme="1"/>
        <rFont val="Calibri"/>
        <family val="2"/>
        <scheme val="minor"/>
      </rPr>
      <t>, p. 38, 158.</t>
    </r>
  </si>
  <si>
    <r>
      <t xml:space="preserve">Bolloré (2019, June), </t>
    </r>
    <r>
      <rPr>
        <i/>
        <sz val="11"/>
        <color theme="1"/>
        <rFont val="Calibri"/>
        <family val="2"/>
        <scheme val="minor"/>
      </rPr>
      <t>2018 Registration Document</t>
    </r>
    <r>
      <rPr>
        <sz val="11"/>
        <color theme="1"/>
        <rFont val="Calibri"/>
        <family val="2"/>
        <scheme val="minor"/>
      </rPr>
      <t xml:space="preserve">, p. 168, 203; Socfin (2019, April), </t>
    </r>
    <r>
      <rPr>
        <i/>
        <sz val="11"/>
        <color theme="1"/>
        <rFont val="Calibri"/>
        <family val="2"/>
        <scheme val="minor"/>
      </rPr>
      <t>2018 Rapport Annuel</t>
    </r>
    <r>
      <rPr>
        <sz val="11"/>
        <color theme="1"/>
        <rFont val="Calibri"/>
        <family val="2"/>
        <scheme val="minor"/>
      </rPr>
      <t>, p. 15.</t>
    </r>
  </si>
  <si>
    <t>Bollore SA</t>
  </si>
  <si>
    <r>
      <t xml:space="preserve">Bolloré (2013, June), </t>
    </r>
    <r>
      <rPr>
        <i/>
        <sz val="11"/>
        <color theme="1"/>
        <rFont val="Calibri"/>
        <family val="2"/>
        <scheme val="minor"/>
      </rPr>
      <t>Registration Document 2012</t>
    </r>
    <r>
      <rPr>
        <sz val="11"/>
        <color theme="1"/>
        <rFont val="Calibri"/>
        <family val="2"/>
        <scheme val="minor"/>
      </rPr>
      <t xml:space="preserve">, p. 34, 140; Socfin (2016, April), </t>
    </r>
    <r>
      <rPr>
        <i/>
        <sz val="11"/>
        <color theme="1"/>
        <rFont val="Calibri"/>
        <family val="2"/>
        <scheme val="minor"/>
      </rPr>
      <t>Annual Report 2015</t>
    </r>
    <r>
      <rPr>
        <sz val="11"/>
        <color theme="1"/>
        <rFont val="Calibri"/>
        <family val="2"/>
        <scheme val="minor"/>
      </rPr>
      <t>, p. 15.</t>
    </r>
  </si>
  <si>
    <t>Financiere de l'Odet SA</t>
  </si>
  <si>
    <r>
      <t xml:space="preserve">Bolloré (2015, June), </t>
    </r>
    <r>
      <rPr>
        <i/>
        <sz val="11"/>
        <color theme="1"/>
        <rFont val="Calibri"/>
        <family val="2"/>
        <scheme val="minor"/>
      </rPr>
      <t>Registration Document 2014</t>
    </r>
    <r>
      <rPr>
        <sz val="11"/>
        <color theme="1"/>
        <rFont val="Calibri"/>
        <family val="2"/>
        <scheme val="minor"/>
      </rPr>
      <t xml:space="preserve">, p. 36, 132; Socfin (2016, April), </t>
    </r>
    <r>
      <rPr>
        <i/>
        <sz val="11"/>
        <color theme="1"/>
        <rFont val="Calibri"/>
        <family val="2"/>
        <scheme val="minor"/>
      </rPr>
      <t>Annual Report 2015</t>
    </r>
    <r>
      <rPr>
        <sz val="11"/>
        <color theme="1"/>
        <rFont val="Calibri"/>
        <family val="2"/>
        <scheme val="minor"/>
      </rPr>
      <t>, p. 15.</t>
    </r>
  </si>
  <si>
    <r>
      <t xml:space="preserve">Bolloré (2016, June), </t>
    </r>
    <r>
      <rPr>
        <i/>
        <sz val="11"/>
        <color theme="1"/>
        <rFont val="Calibri"/>
        <family val="2"/>
        <scheme val="minor"/>
      </rPr>
      <t>Registration Document 2015</t>
    </r>
    <r>
      <rPr>
        <sz val="11"/>
        <color theme="1"/>
        <rFont val="Calibri"/>
        <family val="2"/>
        <scheme val="minor"/>
      </rPr>
      <t xml:space="preserve">, p. 36, 142; Socfin (2016, April), </t>
    </r>
    <r>
      <rPr>
        <i/>
        <sz val="11"/>
        <color theme="1"/>
        <rFont val="Calibri"/>
        <family val="2"/>
        <scheme val="minor"/>
      </rPr>
      <t>Annual Report 2015</t>
    </r>
    <r>
      <rPr>
        <sz val="11"/>
        <color theme="1"/>
        <rFont val="Calibri"/>
        <family val="2"/>
        <scheme val="minor"/>
      </rPr>
      <t>, p. 15.</t>
    </r>
  </si>
  <si>
    <r>
      <t xml:space="preserve">Bolloré (2017, March), </t>
    </r>
    <r>
      <rPr>
        <i/>
        <sz val="11"/>
        <color theme="1"/>
        <rFont val="Calibri"/>
        <family val="2"/>
        <scheme val="minor"/>
      </rPr>
      <t>2016 Results</t>
    </r>
    <r>
      <rPr>
        <sz val="11"/>
        <color theme="1"/>
        <rFont val="Calibri"/>
        <family val="2"/>
        <scheme val="minor"/>
      </rPr>
      <t>, p. 28, 32.</t>
    </r>
  </si>
  <si>
    <t>Boon Siew Group</t>
  </si>
  <si>
    <t>Oriental Holdings Bhd</t>
  </si>
  <si>
    <t>Segment additions to non-current assets (capital expenditure). Oriental Holding has seven reportable operating segments: Automotive and related products; Plastic products; Hotels and Resorts; Investment Holding and Financial Services; Plantation; Investment Properties and Trading of Building Materials, and; Healthcare. Adjusters based on Plantation segment.</t>
  </si>
  <si>
    <r>
      <t xml:space="preserve">Oriental Holdings (2016, April), </t>
    </r>
    <r>
      <rPr>
        <i/>
        <sz val="11"/>
        <color theme="1"/>
        <rFont val="Calibri"/>
        <family val="2"/>
        <scheme val="minor"/>
      </rPr>
      <t>Annual Report 2015</t>
    </r>
    <r>
      <rPr>
        <sz val="11"/>
        <color theme="1"/>
        <rFont val="Calibri"/>
        <family val="2"/>
        <scheme val="minor"/>
      </rPr>
      <t>, p. 144-145.</t>
    </r>
  </si>
  <si>
    <r>
      <t xml:space="preserve">Oriental Holdings (2017, February), Condensed </t>
    </r>
    <r>
      <rPr>
        <i/>
        <sz val="11"/>
        <color theme="1"/>
        <rFont val="Calibri"/>
        <family val="2"/>
        <scheme val="minor"/>
      </rPr>
      <t>Consolidated Statement of Financial Position at 31 December 2016</t>
    </r>
    <r>
      <rPr>
        <sz val="11"/>
        <color theme="1"/>
        <rFont val="Calibri"/>
        <family val="2"/>
        <scheme val="minor"/>
      </rPr>
      <t>, p.3.</t>
    </r>
  </si>
  <si>
    <t>Oriental Holdings (2019, April), Annual Report 2018, p.159-160.</t>
  </si>
  <si>
    <t>Boustead Group</t>
  </si>
  <si>
    <t>Federation of Malaysia</t>
  </si>
  <si>
    <t>BOUSTEAD HLDGS BHD</t>
  </si>
  <si>
    <t>Segment Group Total Sales. Boustead Holding has six reportable operating segments: Plantation Division; Heavy Industries Division; Property Division; Finance &amp; Investment Division; Pharmaceutical Division, and; Trading &amp; Manufacturing. Adjuster is based on Plantation Division. Plantation Division is engaged purely in palm oil.</t>
  </si>
  <si>
    <t>Boustead Holding (2014, February), Annual Report 2012: Unity in Diversity, p. 181-182.</t>
  </si>
  <si>
    <t>Segment Group Total Sales. Boustead Holding has six reportable operating segments: Plantation Division; Heavy Industries Division; Property Division; Finance &amp; Investment Division; Pharmaceutical Division, and; Trading &amp; Industrial Division. Adjuster is based on Plantation Division. Plantation Division is engaged purely in palm oil.</t>
  </si>
  <si>
    <t>Boustead Holding (2018, March), Annual Report 2017: New Heights of Excellence, p. 214.</t>
  </si>
  <si>
    <t>Boustead Holding (2019, March), Annual Report 2018, p. 224.</t>
  </si>
  <si>
    <t>Boustead Holdings Bhd</t>
  </si>
  <si>
    <t>Boustead Holding (2014, February), Annual Report 2010: A Tradition of Excellence, p. 178-179.</t>
  </si>
  <si>
    <t>Boustead Holding (2014, February), Annual Report 2012: Unity in Diversity, p. 181, 183.</t>
  </si>
  <si>
    <t>Boustead Holding (2015, March), Annual Report 2014: Surging Ahead, p. 181, 183.</t>
  </si>
  <si>
    <r>
      <t xml:space="preserve">Boustead Holding (2015, March), </t>
    </r>
    <r>
      <rPr>
        <i/>
        <sz val="11"/>
        <color theme="1"/>
        <rFont val="Calibri"/>
        <family val="2"/>
        <scheme val="minor"/>
      </rPr>
      <t>Annual Report 2014: Surging Ahead</t>
    </r>
    <r>
      <rPr>
        <sz val="11"/>
        <color theme="1"/>
        <rFont val="Calibri"/>
        <family val="2"/>
        <scheme val="minor"/>
      </rPr>
      <t>, p. 181-182.</t>
    </r>
  </si>
  <si>
    <t>Boustead Holding (2017, March), Annual Report 2016: Pushing Forward, p. 203, 205.</t>
  </si>
  <si>
    <r>
      <t xml:space="preserve">Boustead Holding (2017, March), </t>
    </r>
    <r>
      <rPr>
        <i/>
        <sz val="11"/>
        <color theme="1"/>
        <rFont val="Calibri"/>
        <family val="2"/>
        <scheme val="minor"/>
      </rPr>
      <t>Annual Report 2016: Pushing Forward</t>
    </r>
    <r>
      <rPr>
        <sz val="11"/>
        <color theme="1"/>
        <rFont val="Calibri"/>
        <family val="2"/>
        <scheme val="minor"/>
      </rPr>
      <t>, p. 203-204.</t>
    </r>
  </si>
  <si>
    <t>BOUSTEAD PLANTATIONS BHD</t>
  </si>
  <si>
    <t>Boustead Holding has six reportable operating segments: Plantation Division; Heavy Industries Division; Property Division; Finance &amp; Investment Division; Pharmaceutical Division, and; Trading &amp; Industrial Division. Adjuster is based on Plantation Division. Plantation Division is engaged purely in palm oil.</t>
  </si>
  <si>
    <t>Boustead Plantations Bhd</t>
  </si>
  <si>
    <t>Investment holding and oil palm cultivation.</t>
  </si>
  <si>
    <t>Boustead Plantations (2019, March), Annual Report 2018, p. 145.</t>
  </si>
  <si>
    <t>Boustead Holding (2018, March), Annual Report 2017: New Heights of Excellence, p. 237.</t>
  </si>
  <si>
    <t>Boustead Rimba Nilai</t>
  </si>
  <si>
    <t>Cultivation of oil palm and processing of FFBs.</t>
  </si>
  <si>
    <t>Boustead Telok Sengat</t>
  </si>
  <si>
    <t>Processing FFB and investment holding.</t>
  </si>
  <si>
    <t>Bumi Teknokultura Unggul Tbk (BTEK)</t>
  </si>
  <si>
    <t>Bangun Kayu Irian</t>
  </si>
  <si>
    <t>BTEK has three reportable operating segments: Logging Operation; Logging Services, and; Plantations. All three segments relate to timber and forestry. Plantations segment refers tree plantations.</t>
  </si>
  <si>
    <r>
      <t xml:space="preserve">Bumi Technokultural Unngul Tbk (2016, October), </t>
    </r>
    <r>
      <rPr>
        <i/>
        <sz val="11"/>
        <color theme="1"/>
        <rFont val="Calibri"/>
        <family val="2"/>
        <scheme val="minor"/>
      </rPr>
      <t>Consolidated Financial Statements for the Nine Months Period Ended September 31, 2016</t>
    </r>
    <r>
      <rPr>
        <sz val="11"/>
        <color theme="1"/>
        <rFont val="Calibri"/>
        <family val="2"/>
        <scheme val="minor"/>
      </rPr>
      <t>.</t>
    </r>
  </si>
  <si>
    <t>Bumi Teknokultura Unggul Tbk</t>
  </si>
  <si>
    <t>Bumi Teknokultura Unggul Tbk PT</t>
  </si>
  <si>
    <t>BTEK has two reportable operating segments: Forestry and Cocoa bean processing.</t>
  </si>
  <si>
    <r>
      <t xml:space="preserve">Bumi Technokultural Unngul Tbk (2019, April), </t>
    </r>
    <r>
      <rPr>
        <i/>
        <sz val="11"/>
        <color theme="1"/>
        <rFont val="Calibri"/>
        <family val="2"/>
        <scheme val="minor"/>
      </rPr>
      <t>2018 Annual Report,</t>
    </r>
    <r>
      <rPr>
        <sz val="11"/>
        <color theme="1"/>
        <rFont val="Calibri"/>
        <family val="2"/>
        <scheme val="minor"/>
      </rPr>
      <t xml:space="preserve"> p. 143-144.</t>
    </r>
  </si>
  <si>
    <t>As of 2018, BTEK no longer has timber segment.</t>
  </si>
  <si>
    <t>Mitra Pembangunan Global</t>
  </si>
  <si>
    <t>Bunge</t>
  </si>
  <si>
    <t>Bunge Ltd</t>
  </si>
  <si>
    <t>Bunge Asset Funding Corp</t>
  </si>
  <si>
    <t>Bunge Finance Europe</t>
  </si>
  <si>
    <t>BUNGE LIMITED</t>
  </si>
  <si>
    <t>BUNGE LTD</t>
  </si>
  <si>
    <t>Bunge Ltd Finance Corp</t>
  </si>
  <si>
    <t>BUNGE LTD FINANCE CORP</t>
  </si>
  <si>
    <t>BUNGE N A FIN LP</t>
  </si>
  <si>
    <t>Cargill</t>
  </si>
  <si>
    <t>Cargill Inc</t>
  </si>
  <si>
    <t>CARGILL AMERICAS PERU SR</t>
  </si>
  <si>
    <t>Cargill is not a listed company. Due to lack of transparency the segment adjuster cannot be adequately calculated. Given its trade and plantation activities in palm oil, and its role as agro-commodity trader, a conservative estimate of 3% has been applied for the palm oil adjuster.</t>
  </si>
  <si>
    <t>CARGILL ASIA PACIFIC TRE</t>
  </si>
  <si>
    <t>CARGILL ASIA PACIFIC TREASU</t>
  </si>
  <si>
    <t>Cargill Asia Pacific Treasury</t>
  </si>
  <si>
    <t>CARGILL GLOBAL FUNDING</t>
  </si>
  <si>
    <t>Cargill Global Funding PLC</t>
  </si>
  <si>
    <t>CARGILL GLOBAL FUNDING PLC</t>
  </si>
  <si>
    <t>CARGILL INC (EMTN)</t>
  </si>
  <si>
    <t>CARGILL INC (MTN) (BOOK ENTRY)</t>
  </si>
  <si>
    <t>Carson Cumberbatch Group</t>
  </si>
  <si>
    <t>Carson Cumberbatch PLC</t>
  </si>
  <si>
    <t>CARSON CUMBERBATCH &amp; CO</t>
  </si>
  <si>
    <t>Segment Total cost incurred during the period to acquire Property Plant &amp; Equipments and Intangible assets. Carson Cumberbatch has seven reportable operating segments: Investment Holdings; Oil Palm Plantations; Beverage; Real Estate; Hotels; Airlines, and; Management Services. Palm oil adjuster is based on Oil Palm Plantations segment.</t>
  </si>
  <si>
    <r>
      <t xml:space="preserve">Carson Cumberbatch (2011, June), </t>
    </r>
    <r>
      <rPr>
        <i/>
        <sz val="11"/>
        <color theme="1"/>
        <rFont val="Calibri"/>
        <family val="2"/>
        <scheme val="minor"/>
      </rPr>
      <t xml:space="preserve">Annual Report 2010-2011 - Our World, Your World: Taking Sri Lanka to the World, </t>
    </r>
    <r>
      <rPr>
        <sz val="11"/>
        <color theme="1"/>
        <rFont val="Calibri"/>
        <family val="2"/>
        <scheme val="minor"/>
      </rPr>
      <t>p. 90, 93.</t>
    </r>
  </si>
  <si>
    <t>GoodHope Asia Holdings Ltd</t>
  </si>
  <si>
    <t>GoodHope Asia is only engaged in the palm oil sector.</t>
  </si>
  <si>
    <r>
      <t xml:space="preserve">Good Hope (2015, April), </t>
    </r>
    <r>
      <rPr>
        <i/>
        <sz val="11"/>
        <color theme="1"/>
        <rFont val="Calibri"/>
        <family val="2"/>
        <scheme val="minor"/>
      </rPr>
      <t>Annual Report 2013/14</t>
    </r>
    <r>
      <rPr>
        <sz val="11"/>
        <color theme="1"/>
        <rFont val="Calibri"/>
        <family val="2"/>
        <scheme val="minor"/>
      </rPr>
      <t>.</t>
    </r>
  </si>
  <si>
    <t>Cepatwawasan Group</t>
  </si>
  <si>
    <t>Cepatwawasan</t>
  </si>
  <si>
    <t>Segment additions to non-current assets / capital expenditures. Cepatwawasan Group has reportable operating segments: Plantation; Mill, and; All other segments. The palm oil adjuster is based on the Plantation and Mill segments.</t>
  </si>
  <si>
    <r>
      <t xml:space="preserve">Cepatwawasan Group (2012, March), </t>
    </r>
    <r>
      <rPr>
        <i/>
        <sz val="11"/>
        <color theme="1"/>
        <rFont val="Calibri"/>
        <family val="2"/>
        <scheme val="minor"/>
      </rPr>
      <t>Annual Report 2011</t>
    </r>
    <r>
      <rPr>
        <sz val="11"/>
        <color theme="1"/>
        <rFont val="Calibri"/>
        <family val="2"/>
        <scheme val="minor"/>
      </rPr>
      <t>, p. 99-100.</t>
    </r>
  </si>
  <si>
    <t>Segment additions to non-current assets / capital expenditures. Cepatwawasan Group has four reportable operating segments: Plantation; Mill; Power Plant, and; All other segments. The palm oil adjuster is based on the Plantation and Mill segments.</t>
  </si>
  <si>
    <r>
      <t xml:space="preserve">Cepatwawasan Group (2014, March), </t>
    </r>
    <r>
      <rPr>
        <i/>
        <sz val="11"/>
        <color theme="1"/>
        <rFont val="Calibri"/>
        <family val="2"/>
        <scheme val="minor"/>
      </rPr>
      <t>Annual Report 2013</t>
    </r>
    <r>
      <rPr>
        <sz val="11"/>
        <color theme="1"/>
        <rFont val="Calibri"/>
        <family val="2"/>
        <scheme val="minor"/>
      </rPr>
      <t>, p. 111-112.</t>
    </r>
  </si>
  <si>
    <r>
      <t xml:space="preserve">Cepatwawasan Group (2016, March), </t>
    </r>
    <r>
      <rPr>
        <i/>
        <sz val="11"/>
        <color theme="1"/>
        <rFont val="Calibri"/>
        <family val="2"/>
        <scheme val="minor"/>
      </rPr>
      <t>Annual Report 2015</t>
    </r>
    <r>
      <rPr>
        <sz val="11"/>
        <color theme="1"/>
        <rFont val="Calibri"/>
        <family val="2"/>
        <scheme val="minor"/>
      </rPr>
      <t>, p. 139-140.</t>
    </r>
  </si>
  <si>
    <t>Cepatwawasan Group Bhd</t>
  </si>
  <si>
    <t>Cepatwawasan Group has four reportable operating segments: Plantation; Mill; Power Plant, and; All other segments. The palm oil adjuster is based on the Plantation and Mill segments.</t>
  </si>
  <si>
    <r>
      <t xml:space="preserve">Cepatwawasan Group (2018, April), </t>
    </r>
    <r>
      <rPr>
        <i/>
        <sz val="11"/>
        <color theme="1"/>
        <rFont val="Calibri"/>
        <family val="2"/>
        <scheme val="minor"/>
      </rPr>
      <t>Annual Report 2017</t>
    </r>
    <r>
      <rPr>
        <sz val="11"/>
        <color theme="1"/>
        <rFont val="Calibri"/>
        <family val="2"/>
        <scheme val="minor"/>
      </rPr>
      <t>, p. 160.</t>
    </r>
  </si>
  <si>
    <t>Charoen Pokphand Group</t>
  </si>
  <si>
    <t>BERLI JUCKER PUBLIC CO LTD BJC</t>
  </si>
  <si>
    <t>The Group comprises the following main segments: Segment 1 : Livestock business, and; Segment 2 : Aquaculture business. As a vertically integrated company it also sources raw materials for animal feed production, manufacturing animal feed, breeding animals, farming animals for commercial purposes, processing meat, producing ready-to-eat food products and including operating food retail outlets and restaurants. It is not clear where palm oil is located within this. All efforts have been taken to identify an indicator, including identifying the relevant subsidiaries proportion of total assets, to no avail. The palm oil indicator is thus a guess at 1.5%</t>
  </si>
  <si>
    <t>C.P. FOODS HOLDINGS LTD</t>
  </si>
  <si>
    <t>CHAROEN POK FOOD</t>
  </si>
  <si>
    <t>Charoen Pokphand Foods PCL</t>
  </si>
  <si>
    <t>Charoen Pokphand Foods</t>
  </si>
  <si>
    <t>CHAROEN POKPHAND FOODS</t>
  </si>
  <si>
    <t>CHAROEN POKPHAND FOODS PCL-FOREIGN</t>
  </si>
  <si>
    <t>CHAROEN POKPHAND FOODS PCL-NVDR</t>
  </si>
  <si>
    <t>CHAROEN POKPHAND FOODS PUB</t>
  </si>
  <si>
    <t>CHAROEN POKPHAND FOODS PUBLIC CO LTD</t>
  </si>
  <si>
    <t>Charoen Pokphand Group Co Ltd</t>
  </si>
  <si>
    <t>Charoen Pokphand Indonesia</t>
  </si>
  <si>
    <t>Charoen Pokphand Industry Co Ltd</t>
  </si>
  <si>
    <t>CP BANGLADESH Co Ltd</t>
  </si>
  <si>
    <t>CP Foods Holdings Ltd</t>
  </si>
  <si>
    <t>CP Hldg(BVI)Invest Co Ltd</t>
  </si>
  <si>
    <t>CP Pokphand Co Ltd</t>
  </si>
  <si>
    <t>CP POKPHAND CO LTD</t>
  </si>
  <si>
    <t>CPF (Thailand) PCL</t>
  </si>
  <si>
    <t>CPF (THAILAND) PUBLIC COMPANY LIMITED</t>
  </si>
  <si>
    <t>CPF (Thailand) Public Company Limited</t>
  </si>
  <si>
    <t>CPF INVESTMENT LTD</t>
  </si>
  <si>
    <t>CPF Investment Ltd</t>
  </si>
  <si>
    <t>CPF Netherlands BV</t>
  </si>
  <si>
    <t>CPF THAILAND</t>
  </si>
  <si>
    <t>CPF THAILAND PCL</t>
  </si>
  <si>
    <t>CT Bright Holdings Ltd</t>
  </si>
  <si>
    <t>Worth Access Trading Ltd</t>
  </si>
  <si>
    <t>Chin Teck Group</t>
  </si>
  <si>
    <t>Chin Teck Plantations Bhd</t>
  </si>
  <si>
    <t>"The principal activities of the Group are the cultivation of palm oil, production and sale of fresh fruit bunches, crude oil, and palm kernel and is wholly carried out in Malaysia."</t>
  </si>
  <si>
    <r>
      <t xml:space="preserve">Chin Teck Plantations (2016, December), </t>
    </r>
    <r>
      <rPr>
        <i/>
        <sz val="11"/>
        <color theme="1"/>
        <rFont val="Calibri"/>
        <family val="2"/>
        <scheme val="minor"/>
      </rPr>
      <t>Annual Report 2016</t>
    </r>
    <r>
      <rPr>
        <sz val="11"/>
        <color theme="1"/>
        <rFont val="Calibri"/>
        <family val="2"/>
        <scheme val="minor"/>
      </rPr>
      <t>, p. FS-63.</t>
    </r>
  </si>
  <si>
    <r>
      <t xml:space="preserve">Chin Teck Plantations (2018, December), </t>
    </r>
    <r>
      <rPr>
        <i/>
        <sz val="11"/>
        <color theme="1"/>
        <rFont val="Calibri"/>
        <family val="2"/>
        <scheme val="minor"/>
      </rPr>
      <t>Annual Report 2018</t>
    </r>
    <r>
      <rPr>
        <sz val="11"/>
        <color theme="1"/>
        <rFont val="Calibri"/>
        <family val="2"/>
        <scheme val="minor"/>
      </rPr>
      <t>, p. 101.</t>
    </r>
  </si>
  <si>
    <t>COFCO</t>
  </si>
  <si>
    <t>COFCO Ltd</t>
  </si>
  <si>
    <t>China Agri-Industries Holdings Ltd</t>
  </si>
  <si>
    <t>Segment capital expenditures. China Agri-Industries has four reportable operating segments: Oilseeds processing; Rice processing &amp; trading; Wheat processing, and; Brewing materials. Palm oil is one of the four major products of the oilseeds processing segment, however, it is known that soy dominates COFCO's oilseed portfolio. Therefore, the palm oil adjuster is estimated at 1/6 of the oilseeds processing segment as no further more specific breakdown is given.</t>
  </si>
  <si>
    <r>
      <t xml:space="preserve">China Agri-Industries (2012, April), </t>
    </r>
    <r>
      <rPr>
        <i/>
        <sz val="11"/>
        <color theme="1"/>
        <rFont val="Calibri"/>
        <family val="2"/>
        <scheme val="minor"/>
      </rPr>
      <t>2011 Annual Report</t>
    </r>
    <r>
      <rPr>
        <sz val="11"/>
        <color theme="1"/>
        <rFont val="Calibri"/>
        <family val="2"/>
        <scheme val="minor"/>
      </rPr>
      <t>, p. 98.</t>
    </r>
  </si>
  <si>
    <t>COFCO Corp</t>
  </si>
  <si>
    <r>
      <t xml:space="preserve">China Agri-Industries (2014, April), </t>
    </r>
    <r>
      <rPr>
        <i/>
        <sz val="11"/>
        <color theme="1"/>
        <rFont val="Calibri"/>
        <family val="2"/>
        <scheme val="minor"/>
      </rPr>
      <t>2013 Annual Report</t>
    </r>
    <r>
      <rPr>
        <sz val="11"/>
        <color theme="1"/>
        <rFont val="Calibri"/>
        <family val="2"/>
        <scheme val="minor"/>
      </rPr>
      <t>, p. 112.</t>
    </r>
  </si>
  <si>
    <r>
      <t xml:space="preserve">China Agri-Industries (2016, April), </t>
    </r>
    <r>
      <rPr>
        <i/>
        <sz val="11"/>
        <color theme="1"/>
        <rFont val="Calibri"/>
        <family val="2"/>
        <scheme val="minor"/>
      </rPr>
      <t>2015 Annual Report</t>
    </r>
    <r>
      <rPr>
        <sz val="11"/>
        <color theme="1"/>
        <rFont val="Calibri"/>
        <family val="2"/>
        <scheme val="minor"/>
      </rPr>
      <t>, p. 99.</t>
    </r>
  </si>
  <si>
    <r>
      <t xml:space="preserve">China Agri-Industries (2018, April), </t>
    </r>
    <r>
      <rPr>
        <i/>
        <sz val="11"/>
        <color theme="1"/>
        <rFont val="Calibri"/>
        <family val="2"/>
        <scheme val="minor"/>
      </rPr>
      <t>2017 Annual Report</t>
    </r>
    <r>
      <rPr>
        <sz val="11"/>
        <color theme="1"/>
        <rFont val="Calibri"/>
        <family val="2"/>
        <scheme val="minor"/>
      </rPr>
      <t>, p. 101.</t>
    </r>
  </si>
  <si>
    <r>
      <t xml:space="preserve">China Agri-Industries (2019, April), </t>
    </r>
    <r>
      <rPr>
        <i/>
        <sz val="11"/>
        <color theme="1"/>
        <rFont val="Calibri"/>
        <family val="2"/>
        <scheme val="minor"/>
      </rPr>
      <t>2018 Annual Report: Further Develop through Internal and External Growth</t>
    </r>
    <r>
      <rPr>
        <sz val="11"/>
        <color theme="1"/>
        <rFont val="Calibri"/>
        <family val="2"/>
        <scheme val="minor"/>
      </rPr>
      <t>, p. 115.</t>
    </r>
  </si>
  <si>
    <t>CHINA AGRI-INDUSTRIES HOLDINGS LTD</t>
  </si>
  <si>
    <t>People's Republic of China</t>
  </si>
  <si>
    <t>China Foods Ltd</t>
  </si>
  <si>
    <r>
      <t xml:space="preserve">China Agri-Industries (2016, April), </t>
    </r>
    <r>
      <rPr>
        <i/>
        <sz val="11"/>
        <color theme="1"/>
        <rFont val="Calibri"/>
        <family val="2"/>
        <scheme val="minor"/>
      </rPr>
      <t>2015 Annual Report</t>
    </r>
    <r>
      <rPr>
        <sz val="11"/>
        <color theme="1"/>
        <rFont val="Calibri"/>
        <family val="2"/>
        <scheme val="minor"/>
      </rPr>
      <t>, p. 100.</t>
    </r>
  </si>
  <si>
    <t>CHINA FOODS LTD</t>
  </si>
  <si>
    <t>CHINATEX CORP</t>
  </si>
  <si>
    <t>Chinatex is engaged in in both the trading and manufacturing of textiles as well as the trading and processing of grains and oils. Palm oil is one of the major products of the grains and oils segment, however, it is known that soy dominates COFCO's oilseed portfolio. Therefore, the palm oil adjuster is estimated at 1/6 of the oilseeds segment as no further more specific breakdown is given.</t>
  </si>
  <si>
    <t>Cofco Agri Ltd</t>
  </si>
  <si>
    <t>Cofco Capital Corp(Cofco)</t>
  </si>
  <si>
    <t>State-owned parent of China Agri. As no relevant annual report, China Agri holdings figures as proxy given the importance of China Agri in COFCO's total portfolio. Segment capital expenditures. China Agri-Industries has four reportable operating segments: Oilseeds processing; Rice processing &amp; trading; Wheat processing, and; Brewing materials. Palm oil is one of the four major products of the oilseeds processing segment, however, it is known that soy dominates COFCO's oilseed portfolio. Therefore, the palm oil adjuster is estimated at 1/6 of the oilseeds processing segment as no further more specific breakdown is given.</t>
  </si>
  <si>
    <r>
      <t xml:space="preserve">China Agri-Industries (2012, April), </t>
    </r>
    <r>
      <rPr>
        <i/>
        <sz val="11"/>
        <color theme="1"/>
        <rFont val="Calibri"/>
        <family val="2"/>
        <scheme val="minor"/>
      </rPr>
      <t>2011 Annual Report</t>
    </r>
    <r>
      <rPr>
        <sz val="11"/>
        <color theme="1"/>
        <rFont val="Calibri"/>
        <family val="2"/>
        <scheme val="minor"/>
      </rPr>
      <t>, p. 97.</t>
    </r>
  </si>
  <si>
    <t>COFCO CORP</t>
  </si>
  <si>
    <r>
      <t xml:space="preserve">China Agri-Industries (2014, April), </t>
    </r>
    <r>
      <rPr>
        <i/>
        <sz val="11"/>
        <color theme="1"/>
        <rFont val="Calibri"/>
        <family val="2"/>
        <scheme val="minor"/>
      </rPr>
      <t>2013 Annual Report</t>
    </r>
    <r>
      <rPr>
        <sz val="11"/>
        <color theme="1"/>
        <rFont val="Calibri"/>
        <family val="2"/>
        <scheme val="minor"/>
      </rPr>
      <t>, p. 111.</t>
    </r>
  </si>
  <si>
    <t>COFCO(Hong Kong)Ltd</t>
  </si>
  <si>
    <t>Cofco(Hong Kong)Ltd</t>
  </si>
  <si>
    <t>Double Rosy Ltd</t>
  </si>
  <si>
    <t>Financing vehicle. Group level adjuster applied. Segment capital expenditures. China Agri-Industries has four reportable operating segments: Oilseeds processing; Rice processing &amp; trading; Wheat processing, and; Brewing materials. Palm oil is one of the four major products of the oilseeds processing segment, however, it is known that soy dominates COFCO's oilseed portfolio. Therefore, the palm oil adjuster is estimated at 1/6 of the oilseeds processing segment as no further more specific breakdown is given.</t>
  </si>
  <si>
    <t>DOUBLE ROSY LTD</t>
  </si>
  <si>
    <t>Glory River Holdings Ltd</t>
  </si>
  <si>
    <t>Nidera BV</t>
  </si>
  <si>
    <t>Due to a lack of relevant data on which to calculate an adjuster. This is an estimate based on Nidera's diverse portfolio.</t>
  </si>
  <si>
    <t>NIDERA HANDELSCOMPAGNIE BV</t>
  </si>
  <si>
    <t>Noble Agri Ltd</t>
  </si>
  <si>
    <t>Noble adjuster applied.</t>
  </si>
  <si>
    <t>Prosperous Ray Ltd</t>
  </si>
  <si>
    <t>Right Century Ltd</t>
  </si>
  <si>
    <t>DSN Group</t>
  </si>
  <si>
    <t>Dharma Satya Nusantara Tbk PT</t>
  </si>
  <si>
    <t>DHARMA SATYA NUSANTARA</t>
  </si>
  <si>
    <t>Segment assets. Dharma Satya Nusantara has three reportable operating segments: Palm Oil, Wood Products, and; Others.</t>
  </si>
  <si>
    <r>
      <t xml:space="preserve">Dharma Satya Nusantara (2019, April), </t>
    </r>
    <r>
      <rPr>
        <i/>
        <sz val="11"/>
        <color theme="1"/>
        <rFont val="Calibri"/>
        <family val="2"/>
        <scheme val="minor"/>
      </rPr>
      <t>Annual Report 2018</t>
    </r>
    <r>
      <rPr>
        <sz val="11"/>
        <color theme="1"/>
        <rFont val="Calibri"/>
        <family val="2"/>
        <scheme val="minor"/>
      </rPr>
      <t>, p. 81.</t>
    </r>
  </si>
  <si>
    <t>DSN</t>
  </si>
  <si>
    <t>Dharma Satya Nusantara PT{DSN}</t>
  </si>
  <si>
    <r>
      <t xml:space="preserve">Dharma Satya Nusantara (2014, April), </t>
    </r>
    <r>
      <rPr>
        <i/>
        <sz val="11"/>
        <color theme="1"/>
        <rFont val="Calibri"/>
        <family val="2"/>
        <scheme val="minor"/>
      </rPr>
      <t>Annual Report 2013: Empowering Life</t>
    </r>
    <r>
      <rPr>
        <sz val="11"/>
        <color theme="1"/>
        <rFont val="Calibri"/>
        <family val="2"/>
        <scheme val="minor"/>
      </rPr>
      <t>, p. FS-75.</t>
    </r>
  </si>
  <si>
    <r>
      <t xml:space="preserve">Dharma Satya Nusantara (2017, March), </t>
    </r>
    <r>
      <rPr>
        <i/>
        <sz val="11"/>
        <color theme="1"/>
        <rFont val="Calibri"/>
        <family val="2"/>
        <scheme val="minor"/>
      </rPr>
      <t>Annual Report 2016: Striving for Excellence</t>
    </r>
    <r>
      <rPr>
        <sz val="11"/>
        <color theme="1"/>
        <rFont val="Calibri"/>
        <family val="2"/>
        <scheme val="minor"/>
      </rPr>
      <t>, p. FS-72.</t>
    </r>
  </si>
  <si>
    <r>
      <t xml:space="preserve">Dharma Satya Nusantara (2017, March), </t>
    </r>
    <r>
      <rPr>
        <i/>
        <sz val="11"/>
        <color theme="1"/>
        <rFont val="Calibri"/>
        <family val="2"/>
        <scheme val="minor"/>
      </rPr>
      <t>Annual Report 2016: Striving for Excellence</t>
    </r>
    <r>
      <rPr>
        <sz val="11"/>
        <color theme="1"/>
        <rFont val="Calibri"/>
        <family val="2"/>
        <scheme val="minor"/>
      </rPr>
      <t>, p. FS-72-73.</t>
    </r>
  </si>
  <si>
    <r>
      <t xml:space="preserve">Dharma Satya Nusantara (2019, April), </t>
    </r>
    <r>
      <rPr>
        <i/>
        <sz val="11"/>
        <color theme="1"/>
        <rFont val="Calibri"/>
        <family val="2"/>
        <scheme val="minor"/>
      </rPr>
      <t>Annual Report 2018</t>
    </r>
    <r>
      <rPr>
        <sz val="11"/>
        <color theme="1"/>
        <rFont val="Calibri"/>
        <family val="2"/>
        <scheme val="minor"/>
      </rPr>
      <t>, p. 82.</t>
    </r>
  </si>
  <si>
    <t>DutaLand Group</t>
  </si>
  <si>
    <t>DutaLand Bhd</t>
  </si>
  <si>
    <t>Segment additions to non-current assets. Dutaland has three reportable operating segments: Property Development; Plantation, and; Investment Holding and Others.</t>
  </si>
  <si>
    <r>
      <t xml:space="preserve">Dutaland (2016, September), </t>
    </r>
    <r>
      <rPr>
        <i/>
        <sz val="11"/>
        <color theme="1"/>
        <rFont val="Calibri"/>
        <family val="2"/>
        <scheme val="minor"/>
      </rPr>
      <t>Annual Report 2016</t>
    </r>
    <r>
      <rPr>
        <sz val="11"/>
        <color theme="1"/>
        <rFont val="Calibri"/>
        <family val="2"/>
        <scheme val="minor"/>
      </rPr>
      <t>, p. 101.</t>
    </r>
  </si>
  <si>
    <t xml:space="preserve">Exiting palm oil! Segment additions to non-current assets. Dutaland has three reportable operating segments: Property Development; Plantation, and; Investment Holding and Others. </t>
  </si>
  <si>
    <r>
      <t xml:space="preserve">Dutaland (2017, October), </t>
    </r>
    <r>
      <rPr>
        <i/>
        <sz val="11"/>
        <color theme="1"/>
        <rFont val="Calibri"/>
        <family val="2"/>
        <scheme val="minor"/>
      </rPr>
      <t>Annual Report 2017</t>
    </r>
    <r>
      <rPr>
        <sz val="11"/>
        <color theme="1"/>
        <rFont val="Calibri"/>
        <family val="2"/>
        <scheme val="minor"/>
      </rPr>
      <t>, p. 104-105.</t>
    </r>
  </si>
  <si>
    <t>Dutaland is discontinuing is palm oil activities. The segment is under discontinued operations. No capital expenditures have been made, and the segment is no longer reported under operating segments.</t>
  </si>
  <si>
    <r>
      <t xml:space="preserve">Dutaland (2018, September), </t>
    </r>
    <r>
      <rPr>
        <i/>
        <sz val="11"/>
        <color theme="1"/>
        <rFont val="Calibri"/>
        <family val="2"/>
        <scheme val="minor"/>
      </rPr>
      <t>Annual Report 2018</t>
    </r>
    <r>
      <rPr>
        <sz val="11"/>
        <color theme="1"/>
        <rFont val="Calibri"/>
        <family val="2"/>
        <scheme val="minor"/>
      </rPr>
      <t>, p. 119.</t>
    </r>
  </si>
  <si>
    <t>Permata Land &amp; Development</t>
  </si>
  <si>
    <t>Palm oil subsidiary.</t>
  </si>
  <si>
    <t>Evergreen Fibreboard</t>
  </si>
  <si>
    <t>Evergreen Fibreboard is only engaged in the timber supply chain.</t>
  </si>
  <si>
    <r>
      <t xml:space="preserve">Evergreen Fibreboard (2013, April), </t>
    </r>
    <r>
      <rPr>
        <i/>
        <sz val="11"/>
        <color theme="1"/>
        <rFont val="Calibri"/>
        <family val="2"/>
        <scheme val="minor"/>
      </rPr>
      <t>Annual Report 2012</t>
    </r>
    <r>
      <rPr>
        <sz val="11"/>
        <color theme="1"/>
        <rFont val="Calibri"/>
        <family val="2"/>
        <scheme val="minor"/>
      </rPr>
      <t>, p. 118.</t>
    </r>
  </si>
  <si>
    <t>Evergreen Fibreboard Bhd</t>
  </si>
  <si>
    <r>
      <t xml:space="preserve">Evergreen Fibreboard (2016, April), </t>
    </r>
    <r>
      <rPr>
        <i/>
        <sz val="11"/>
        <color theme="1"/>
        <rFont val="Calibri"/>
        <family val="2"/>
        <scheme val="minor"/>
      </rPr>
      <t>Annual Report 2015</t>
    </r>
    <r>
      <rPr>
        <sz val="11"/>
        <color theme="1"/>
        <rFont val="Calibri"/>
        <family val="2"/>
        <scheme val="minor"/>
      </rPr>
      <t>, p. 126.</t>
    </r>
  </si>
  <si>
    <r>
      <t xml:space="preserve">Evergreen Fibreboard (2019, April), </t>
    </r>
    <r>
      <rPr>
        <i/>
        <sz val="11"/>
        <color theme="1"/>
        <rFont val="Calibri"/>
        <family val="2"/>
        <scheme val="minor"/>
      </rPr>
      <t>Annual Report 2018</t>
    </r>
    <r>
      <rPr>
        <sz val="11"/>
        <color theme="1"/>
        <rFont val="Calibri"/>
        <family val="2"/>
        <scheme val="minor"/>
      </rPr>
      <t>, p. 142.</t>
    </r>
  </si>
  <si>
    <t>Felda Group</t>
  </si>
  <si>
    <t>Asian Plantations Ltd</t>
  </si>
  <si>
    <t>Asian Plantations is an upstream palm oil subsidiary.</t>
  </si>
  <si>
    <r>
      <t>Felda Global Ventures (2016, April),</t>
    </r>
    <r>
      <rPr>
        <i/>
        <sz val="11"/>
        <color theme="1"/>
        <rFont val="Calibri"/>
        <family val="2"/>
        <scheme val="minor"/>
      </rPr>
      <t xml:space="preserve"> Annual Report 2015: Empowering Sustainable Value</t>
    </r>
    <r>
      <rPr>
        <sz val="11"/>
        <color theme="1"/>
        <rFont val="Calibri"/>
        <family val="2"/>
        <scheme val="minor"/>
      </rPr>
      <t>, p. 26.</t>
    </r>
  </si>
  <si>
    <t>FGV Holdings Bhd</t>
  </si>
  <si>
    <t>Asian Plantations Sarawak II</t>
  </si>
  <si>
    <t>Bj Corp Sdn Bhd</t>
  </si>
  <si>
    <t>BJ Corporation is a plantation company subsidiary of Asian Plantations.</t>
  </si>
  <si>
    <r>
      <t>Felda Global Ventures (2016, April),</t>
    </r>
    <r>
      <rPr>
        <i/>
        <sz val="11"/>
        <color theme="1"/>
        <rFont val="Calibri"/>
        <family val="2"/>
        <scheme val="minor"/>
      </rPr>
      <t xml:space="preserve"> Annual Report 2015: Empowering Sustainable Value</t>
    </r>
    <r>
      <rPr>
        <sz val="11"/>
        <color theme="1"/>
        <rFont val="Calibri"/>
        <family val="2"/>
        <scheme val="minor"/>
      </rPr>
      <t>, p. 273.</t>
    </r>
  </si>
  <si>
    <t>FELDA GLOBAL VENTURES</t>
  </si>
  <si>
    <t>Segment capital expenditure. Felda Global Ventures has three reportable operating segments: Plantation; Sugar, and; Logistics and others. Palm oil adjuster is based on three segments: Palm Upstream; Palm Downstream, and; Trading, Marketing and Logistics, as trade and logistics is predominantly for palm oil. The Rubber adjuster is based on half of the Logistics and others segment.</t>
  </si>
  <si>
    <r>
      <t>Felda Global Ventures (2018, April),</t>
    </r>
    <r>
      <rPr>
        <i/>
        <sz val="11"/>
        <color theme="1"/>
        <rFont val="Calibri"/>
        <family val="2"/>
        <scheme val="minor"/>
      </rPr>
      <t xml:space="preserve"> Annual Report 2017: Evolve, Focus</t>
    </r>
    <r>
      <rPr>
        <sz val="11"/>
        <color theme="1"/>
        <rFont val="Calibri"/>
        <family val="2"/>
        <scheme val="minor"/>
      </rPr>
      <t>, p. 198.</t>
    </r>
  </si>
  <si>
    <t>Segment capital expenditure. Felda Global Ventures has three reportable operating segments: Plantation; Sugar, and; Logistics and others. The Palm oil and Rubber adjusters are based on the Plantation segment adjusted for proportional planted areas.</t>
  </si>
  <si>
    <r>
      <t>Felda Global Ventures (2019, May),</t>
    </r>
    <r>
      <rPr>
        <i/>
        <sz val="11"/>
        <color theme="1"/>
        <rFont val="Calibri"/>
        <family val="2"/>
        <scheme val="minor"/>
      </rPr>
      <t xml:space="preserve"> Annual Report 2018: Progressing with Change</t>
    </r>
    <r>
      <rPr>
        <sz val="11"/>
        <color theme="1"/>
        <rFont val="Calibri"/>
        <family val="2"/>
        <scheme val="minor"/>
      </rPr>
      <t>, p. 6, 211.</t>
    </r>
  </si>
  <si>
    <t>Felda Global Ventures Hldgs</t>
  </si>
  <si>
    <t>Felda Global Ventures Holdings Bhd</t>
  </si>
  <si>
    <t>Segment capital expenditure. Felda Global Ventures has four reportable operating segments: Plantation; Palm Downstream; Sugar; Manufacturing, Logistics, and others. Palm oil adjuster is based on three segments: Plantation; Palm Downstream; and half of Manufacturing, Logistics, and others. The Rubber adjuster is based on half of the Manufacturing, Logistics, and others segment.</t>
  </si>
  <si>
    <r>
      <t xml:space="preserve">Felda Global Ventures (2014, June), </t>
    </r>
    <r>
      <rPr>
        <i/>
        <sz val="11"/>
        <color theme="1"/>
        <rFont val="Calibri"/>
        <family val="2"/>
        <scheme val="minor"/>
      </rPr>
      <t>Annual Report 2013: Anchoring Growth Towards Success</t>
    </r>
    <r>
      <rPr>
        <sz val="11"/>
        <color theme="1"/>
        <rFont val="Calibri"/>
        <family val="2"/>
        <scheme val="minor"/>
      </rPr>
      <t>, p. 229-230.</t>
    </r>
  </si>
  <si>
    <t>Segment capital expenditure. Felda Global Ventures has five reportable operating segments: Palm Upstream; Palm Downstream; Sugar; Trading, Marketing and Logistics, and; Others. Palm oil adjuster is based on three segments: Palm Upstream; Palm Downstream, and; Trading, Marketing and Logistics, as trade and logistics is predominantly for palm oil. The Rubber adjuster is based on half of the Others segment.</t>
  </si>
  <si>
    <r>
      <t>Felda Global Ventures (2016, April),</t>
    </r>
    <r>
      <rPr>
        <i/>
        <sz val="11"/>
        <color theme="1"/>
        <rFont val="Calibri"/>
        <family val="2"/>
        <scheme val="minor"/>
      </rPr>
      <t xml:space="preserve"> Annual Report 2015: Empowering Sustainable Value</t>
    </r>
    <r>
      <rPr>
        <sz val="11"/>
        <color theme="1"/>
        <rFont val="Calibri"/>
        <family val="2"/>
        <scheme val="minor"/>
      </rPr>
      <t>, p. 243, 245.</t>
    </r>
  </si>
  <si>
    <r>
      <t>Felda Global Ventures (2016, April),</t>
    </r>
    <r>
      <rPr>
        <i/>
        <sz val="11"/>
        <color theme="1"/>
        <rFont val="Calibri"/>
        <family val="2"/>
        <scheme val="minor"/>
      </rPr>
      <t xml:space="preserve"> Annual Report 2015: Empowering Sustainable Value</t>
    </r>
    <r>
      <rPr>
        <sz val="11"/>
        <color theme="1"/>
        <rFont val="Calibri"/>
        <family val="2"/>
        <scheme val="minor"/>
      </rPr>
      <t>, p. 243-244.</t>
    </r>
  </si>
  <si>
    <r>
      <t>Felda Global Ventures (2017, April),</t>
    </r>
    <r>
      <rPr>
        <i/>
        <sz val="11"/>
        <color theme="1"/>
        <rFont val="Calibri"/>
        <family val="2"/>
        <scheme val="minor"/>
      </rPr>
      <t xml:space="preserve"> Annual Report 2016: Consolidate, Optimize, Focus</t>
    </r>
    <r>
      <rPr>
        <sz val="11"/>
        <color theme="1"/>
        <rFont val="Calibri"/>
        <family val="2"/>
        <scheme val="minor"/>
      </rPr>
      <t>, p. 228-229.</t>
    </r>
  </si>
  <si>
    <t>FELDA GLOBAL VENTURES HOLDINGS BHD</t>
  </si>
  <si>
    <t>Genting Group</t>
  </si>
  <si>
    <t>Genting Bhd</t>
  </si>
  <si>
    <t>Asianindo Holdings Pte Ltd</t>
  </si>
  <si>
    <t>Asianindo Holdings is an investment holding company, group level adjuster is applied. Segment capital expenditure. Genting Plantations has four reportable operating segments: Plantations; Property; Biotechnology, and; Others. The palm oil adjuster is based on Plantations and Biotechnology segments, as Biotech is geared towards palm oil.</t>
  </si>
  <si>
    <r>
      <t xml:space="preserve">Genting Plantations (2011, May), </t>
    </r>
    <r>
      <rPr>
        <i/>
        <sz val="11"/>
        <color theme="1"/>
        <rFont val="Calibri"/>
        <family val="2"/>
        <scheme val="minor"/>
      </rPr>
      <t>Annual Report 2010</t>
    </r>
    <r>
      <rPr>
        <sz val="11"/>
        <color theme="1"/>
        <rFont val="Calibri"/>
        <family val="2"/>
        <scheme val="minor"/>
      </rPr>
      <t>, p. 89-90, 124.</t>
    </r>
  </si>
  <si>
    <t>Benih Restu Bhd</t>
  </si>
  <si>
    <t>Benih Restu is a financing subsidiary, it issues debt securities, therefore adjusters for the group level are applied. Segment capital expenditure. Genting Plantations has five reportable operating segments: Plantations; Property; Biotechnology; Downstream Manufacturing, and; Others. The palm oil adjuster is based on Plantations; Biotechnology, and; Downstream Manufacturing segments, as Biotech and manufacturing are all geared towards or use palm oil.</t>
  </si>
  <si>
    <r>
      <t xml:space="preserve">Genting Plantations (2016, April), </t>
    </r>
    <r>
      <rPr>
        <i/>
        <sz val="11"/>
        <color theme="1"/>
        <rFont val="Calibri"/>
        <family val="2"/>
        <scheme val="minor"/>
      </rPr>
      <t>Annual Report 2015: 50 Years Forging Ahead</t>
    </r>
    <r>
      <rPr>
        <sz val="11"/>
        <color theme="1"/>
        <rFont val="Calibri"/>
        <family val="2"/>
        <scheme val="minor"/>
      </rPr>
      <t>, p. 103-104, 137.</t>
    </r>
  </si>
  <si>
    <t>GB Services Berhad</t>
  </si>
  <si>
    <t>GB Services is a financing subsidiary, therefore group level adjuster is applied. Segment capital expenditures. Genting has five reportable operating segments: Leisure &amp; Hospitality; Plantation; Power; Property, and; Oil &amp; Gas. The palm oil adjuster is based on the Plantation segment.</t>
  </si>
  <si>
    <r>
      <t xml:space="preserve">Genting (2011, May), </t>
    </r>
    <r>
      <rPr>
        <i/>
        <sz val="11"/>
        <color theme="1"/>
        <rFont val="Calibri"/>
        <family val="2"/>
        <scheme val="minor"/>
      </rPr>
      <t>Annual Report 2010</t>
    </r>
    <r>
      <rPr>
        <sz val="11"/>
        <color theme="1"/>
        <rFont val="Calibri"/>
        <family val="2"/>
        <scheme val="minor"/>
      </rPr>
      <t>, p. 94, 96, 125.</t>
    </r>
  </si>
  <si>
    <t>GB SERVICES BHD</t>
  </si>
  <si>
    <r>
      <t xml:space="preserve">Genting (2017, March), </t>
    </r>
    <r>
      <rPr>
        <i/>
        <sz val="11"/>
        <color theme="1"/>
        <rFont val="Calibri"/>
        <family val="2"/>
        <scheme val="minor"/>
      </rPr>
      <t>Annual Report 2016</t>
    </r>
    <r>
      <rPr>
        <sz val="11"/>
        <color theme="1"/>
        <rFont val="Calibri"/>
        <family val="2"/>
        <scheme val="minor"/>
      </rPr>
      <t>, p. 97.</t>
    </r>
  </si>
  <si>
    <t>Segment assets. Genting has five reportable operating segments: Leisure &amp; Hospitality; Plantation; Power; Property, and; Oil &amp; Gas. The palm oil adjuster is based on the Plantation segment.</t>
  </si>
  <si>
    <r>
      <t xml:space="preserve">Genting (2018, April), </t>
    </r>
    <r>
      <rPr>
        <i/>
        <sz val="11"/>
        <color theme="1"/>
        <rFont val="Calibri"/>
        <family val="2"/>
        <scheme val="minor"/>
      </rPr>
      <t>Annual Report 2017</t>
    </r>
    <r>
      <rPr>
        <sz val="11"/>
        <color theme="1"/>
        <rFont val="Calibri"/>
        <family val="2"/>
        <scheme val="minor"/>
      </rPr>
      <t>, p. 130.</t>
    </r>
  </si>
  <si>
    <t>Segment capital expenditures. Genting has five reportable operating segments: Leisure &amp; Hospitality; Plantation; Power; Property, and; Oil &amp; Gas. The palm oil adjuster is based on the Plantation segment.</t>
  </si>
  <si>
    <t>Genting (2016, April), Annual Report 2015: 50 Years Forging Ahead, p. 115, 118.</t>
  </si>
  <si>
    <r>
      <t xml:space="preserve">Genting (2019, April), </t>
    </r>
    <r>
      <rPr>
        <i/>
        <sz val="11"/>
        <color theme="1"/>
        <rFont val="Calibri"/>
        <family val="2"/>
        <scheme val="minor"/>
      </rPr>
      <t>Annual Report 2018</t>
    </r>
    <r>
      <rPr>
        <sz val="11"/>
        <color theme="1"/>
        <rFont val="Calibri"/>
        <family val="2"/>
        <scheme val="minor"/>
      </rPr>
      <t>, p. 134.</t>
    </r>
  </si>
  <si>
    <t>GENTING BHD</t>
  </si>
  <si>
    <t>GENTING CAPITAL BHD</t>
  </si>
  <si>
    <t>Genting Capital is a financing subsidiary, therefore group level adjuster is applied. Segment capital expenditures. Genting has five reportable operating segments: Leisure &amp; Hospitality; Plantation; Power; Property, and; Oil &amp; Gas. The palm oil adjuster is based on the Plantation segment.</t>
  </si>
  <si>
    <r>
      <t xml:space="preserve">Genting (2014, May), </t>
    </r>
    <r>
      <rPr>
        <i/>
        <sz val="11"/>
        <color theme="1"/>
        <rFont val="Calibri"/>
        <family val="2"/>
        <scheme val="minor"/>
      </rPr>
      <t>Annual Report 2013</t>
    </r>
    <r>
      <rPr>
        <sz val="11"/>
        <color theme="1"/>
        <rFont val="Calibri"/>
        <family val="2"/>
        <scheme val="minor"/>
      </rPr>
      <t>, p. 98, 102, 141.</t>
    </r>
  </si>
  <si>
    <t>Genting Plantations Bhd</t>
  </si>
  <si>
    <t>Segment capital expenditure. Genting Plantations has five reportable operating segments: Plantations; Property; Biotechnology; Downstream Manufacturing, and; Others. The palm oil adjuster is based on Plantations; Biotechnology, and; Downstream Manufacturing segments, as Biotech and manufacturing are all geared towards or use palm oil.</t>
  </si>
  <si>
    <r>
      <t xml:space="preserve">Genting Plantations (2016, April), </t>
    </r>
    <r>
      <rPr>
        <i/>
        <sz val="11"/>
        <color theme="1"/>
        <rFont val="Calibri"/>
        <family val="2"/>
        <scheme val="minor"/>
      </rPr>
      <t>Annual Report 2015: 50 Years Forging Ahead</t>
    </r>
    <r>
      <rPr>
        <sz val="11"/>
        <color theme="1"/>
        <rFont val="Calibri"/>
        <family val="2"/>
        <scheme val="minor"/>
      </rPr>
      <t>, p. 103-104.</t>
    </r>
  </si>
  <si>
    <t>Palmindo Holdings is an investment holding company, group level adjuster is applied. Segment capital expenditures. Genting Plantations has five reportable operating segments: Plantations; Property; Biotechnology; Downstream Manufacturing, and; Others. The palm oil adjuster is based on Plantations; Biotechnology, and; Downstream Manufacturing segments, as Biotech and manufacturing are all geared towards or use palm oil.</t>
  </si>
  <si>
    <r>
      <t xml:space="preserve">Genting Plantations (2017, March), </t>
    </r>
    <r>
      <rPr>
        <i/>
        <sz val="11"/>
        <color theme="1"/>
        <rFont val="Calibri"/>
        <family val="2"/>
        <scheme val="minor"/>
      </rPr>
      <t>Annual Report 2016</t>
    </r>
    <r>
      <rPr>
        <sz val="11"/>
        <color theme="1"/>
        <rFont val="Calibri"/>
        <family val="2"/>
        <scheme val="minor"/>
      </rPr>
      <t>, p. 94.</t>
    </r>
  </si>
  <si>
    <t>Segment assets. Genting Plantations has five reportable operating segments: Plantations; Property; Biotechnology; Downstream Manufacturing, and; Others. The palm oil adjuster is based on Plantations; Biotechnology, and; Downstream Manufacturing segments, as Biotech and manufacturing are all geared towards or use palm oil.</t>
  </si>
  <si>
    <r>
      <t xml:space="preserve">Genting Plantations (2018, March), </t>
    </r>
    <r>
      <rPr>
        <i/>
        <sz val="11"/>
        <color theme="1"/>
        <rFont val="Calibri"/>
        <family val="2"/>
        <scheme val="minor"/>
      </rPr>
      <t>Annual Report 2017</t>
    </r>
    <r>
      <rPr>
        <sz val="11"/>
        <color theme="1"/>
        <rFont val="Calibri"/>
        <family val="2"/>
        <scheme val="minor"/>
      </rPr>
      <t>, p. 124.</t>
    </r>
  </si>
  <si>
    <r>
      <t xml:space="preserve">Genting Plantations (2019, April), </t>
    </r>
    <r>
      <rPr>
        <i/>
        <sz val="11"/>
        <color theme="1"/>
        <rFont val="Calibri"/>
        <family val="2"/>
        <scheme val="minor"/>
      </rPr>
      <t>Annual Report 2018</t>
    </r>
    <r>
      <rPr>
        <sz val="11"/>
        <color theme="1"/>
        <rFont val="Calibri"/>
        <family val="2"/>
        <scheme val="minor"/>
      </rPr>
      <t>, p. 128.</t>
    </r>
  </si>
  <si>
    <t>GENTING PLANTATIONS BHD</t>
  </si>
  <si>
    <t>GLOBAL AGRIPALM INVEST</t>
  </si>
  <si>
    <t>Globa Agripalm Investment is an investment holding company, group level adjuster is applied. Segment capital expenditure. Genting Plantations has four reportable operating segments: Plantations; Property; Biotechnology, and; Others. The palm oil adjuster is based on Plantations and Biotechnology segments, as Biotech is geared towards palm oil.</t>
  </si>
  <si>
    <r>
      <t xml:space="preserve">Genting Plantations (2014, May), </t>
    </r>
    <r>
      <rPr>
        <i/>
        <sz val="11"/>
        <color theme="1"/>
        <rFont val="Calibri"/>
        <family val="2"/>
        <scheme val="minor"/>
      </rPr>
      <t>Annual Report 2013</t>
    </r>
    <r>
      <rPr>
        <sz val="11"/>
        <color theme="1"/>
        <rFont val="Calibri"/>
        <family val="2"/>
        <scheme val="minor"/>
      </rPr>
      <t>, p. 91-92, 127.</t>
    </r>
  </si>
  <si>
    <t>GOHL CAPITAL LIMITED</t>
  </si>
  <si>
    <t>Gohl Capital Ltd</t>
  </si>
  <si>
    <t>PALMINDO HOLDINGS</t>
  </si>
  <si>
    <t>Palmindo Holdings Pte Ltd</t>
  </si>
  <si>
    <t>Palmindo Holdings is an investment holding company, group level adjuster is applied. Segment assets. Genting Plantations has five reportable operating segments: Plantations; Property; Biotechnology; Downstream Manufacturing, and; Others. The palm oil adjuster is based on Plantations; Biotechnology, and; Downstream Manufacturing segments, as Biotech and manufacturing are all geared towards or use palm oil.</t>
  </si>
  <si>
    <t>Georgia-Pacific Group (Koch Industries)</t>
  </si>
  <si>
    <t>GEORGIA PAC LLC</t>
  </si>
  <si>
    <t>Georgia-Pacific Group is now part of Koch Industries. Both do not have any relevant financial information or sufficiently detailed information for a segment breakdown. For Georgia-Pacific the timber adjuster is based on a guess of the proportion of activities in Indonesia.</t>
  </si>
  <si>
    <t>Georgia-Pacific Group is now part of Koch Industries. Both do not have any relevant financial information or sufficiently detailed information for a segment breakdown. For Georgia-Pacific the timber adjuster is based on a guess of the proportion of activities in Indonesia. For Koch Industries, this is halved as GP is an integrated subsidiary.</t>
  </si>
  <si>
    <t>GEORGIA PACIFIC LLC</t>
  </si>
  <si>
    <t>GEORGIA-PACIFIC CORP</t>
  </si>
  <si>
    <t>Georgia-Pacific Finance NV</t>
  </si>
  <si>
    <t>Georgia-Pacific Group (Georgia-Pacific Corp)</t>
  </si>
  <si>
    <t>Koch Industries Inc</t>
  </si>
  <si>
    <t>Georgia-Pacific LLC</t>
  </si>
  <si>
    <t>GEORGIA-PACIFIC LLC</t>
  </si>
  <si>
    <t>Global Palm Resource Holdings</t>
  </si>
  <si>
    <t>Global Palm Resources Holdings</t>
  </si>
  <si>
    <t>Global Palm Resources Holdings Ltd</t>
  </si>
  <si>
    <t>Global Palm Resource Holdings only operates in one segment, namely palm oil.</t>
  </si>
  <si>
    <r>
      <t xml:space="preserve">Global Palm Resource Holdings (2016, March), </t>
    </r>
    <r>
      <rPr>
        <i/>
        <sz val="11"/>
        <color theme="1"/>
        <rFont val="Calibri"/>
        <family val="2"/>
        <scheme val="minor"/>
      </rPr>
      <t>2015 Annual Report: Partnership, Stewardship, Community, Commitment</t>
    </r>
    <r>
      <rPr>
        <sz val="11"/>
        <color theme="1"/>
        <rFont val="Calibri"/>
        <family val="2"/>
        <scheme val="minor"/>
      </rPr>
      <t>, p. 89.</t>
    </r>
  </si>
  <si>
    <t>Golden Land Group</t>
  </si>
  <si>
    <t>Golden Land Bhd</t>
  </si>
  <si>
    <t>Segment additions to non-current assets / capital expenditures. Golden Land Berhad has two reportable operating segments: Plantations &amp; Mills, and; Others. The palm oil adjuster is based on the Plantations &amp; Mills segment.</t>
  </si>
  <si>
    <r>
      <t xml:space="preserve">Golden Land Berhad (2010, October), </t>
    </r>
    <r>
      <rPr>
        <i/>
        <sz val="11"/>
        <color theme="1"/>
        <rFont val="Calibri"/>
        <family val="2"/>
        <scheme val="minor"/>
      </rPr>
      <t xml:space="preserve">Annual Report 2010, </t>
    </r>
    <r>
      <rPr>
        <sz val="11"/>
        <color theme="1"/>
        <rFont val="Calibri"/>
        <family val="2"/>
        <scheme val="minor"/>
      </rPr>
      <t>p. 96-97.</t>
    </r>
  </si>
  <si>
    <t>Segment additions to non-current assets / capital expenditures. Golden Land Berhad has four reportable operating segments: Sabah Plantation &amp; Mill; Indonesian Plantations; Property, and; Others. The palm oil adjuster is based on the Indonesian Plantations segment as the Sabah Plantation &amp; Mill was discontinued in 2015.</t>
  </si>
  <si>
    <r>
      <t xml:space="preserve">Golden Land Berhad (2016, October), </t>
    </r>
    <r>
      <rPr>
        <i/>
        <sz val="11"/>
        <color theme="1"/>
        <rFont val="Calibri"/>
        <family val="2"/>
        <scheme val="minor"/>
      </rPr>
      <t xml:space="preserve">Annual Report 2016: Exploring Diverse Opportunities, </t>
    </r>
    <r>
      <rPr>
        <sz val="11"/>
        <color theme="1"/>
        <rFont val="Calibri"/>
        <family val="2"/>
        <scheme val="minor"/>
      </rPr>
      <t>p. 142-143.</t>
    </r>
  </si>
  <si>
    <r>
      <t xml:space="preserve">Golden Land Berhad (2017, October), </t>
    </r>
    <r>
      <rPr>
        <i/>
        <sz val="11"/>
        <color theme="1"/>
        <rFont val="Calibri"/>
        <family val="2"/>
        <scheme val="minor"/>
      </rPr>
      <t xml:space="preserve">Annual Report 2017, </t>
    </r>
    <r>
      <rPr>
        <sz val="11"/>
        <color theme="1"/>
        <rFont val="Calibri"/>
        <family val="2"/>
        <scheme val="minor"/>
      </rPr>
      <t>p. 113.</t>
    </r>
  </si>
  <si>
    <t>Segment additions to non-current assets / capital expenditures. Golden Land Berhad has three reportable operating segments: Plantation; Property Development, and; Others. The palm oil adjuster is based on the Plantation as this is purely engaged in palm oil.</t>
  </si>
  <si>
    <r>
      <t xml:space="preserve">Golden Land Berhad (2018, October), </t>
    </r>
    <r>
      <rPr>
        <i/>
        <sz val="11"/>
        <color theme="1"/>
        <rFont val="Calibri"/>
        <family val="2"/>
        <scheme val="minor"/>
      </rPr>
      <t xml:space="preserve">Annual Report 2018: Continuing &amp; Growth, </t>
    </r>
    <r>
      <rPr>
        <sz val="11"/>
        <color theme="1"/>
        <rFont val="Calibri"/>
        <family val="2"/>
        <scheme val="minor"/>
      </rPr>
      <t>p. 125-126.</t>
    </r>
  </si>
  <si>
    <t>Gozco Group</t>
  </si>
  <si>
    <t>Gozco Plantations</t>
  </si>
  <si>
    <t>Cahya Vidi Abadi</t>
  </si>
  <si>
    <t>Given the following statement, all identified subsidiaries are considered to be enaged predominantly in the palm oil sector. "The company conducts the business of developing and operating palm oil plantations, trading and processing of crude palm oil and palm kernel through its subsidiaries."</t>
  </si>
  <si>
    <r>
      <t xml:space="preserve">Gozco Plantations (2016, April), </t>
    </r>
    <r>
      <rPr>
        <i/>
        <sz val="11"/>
        <color theme="1"/>
        <rFont val="Calibri"/>
        <family val="2"/>
        <scheme val="minor"/>
      </rPr>
      <t>2015 Annual Report: Growing for the Future</t>
    </r>
    <r>
      <rPr>
        <sz val="11"/>
        <color theme="1"/>
        <rFont val="Calibri"/>
        <family val="2"/>
        <scheme val="minor"/>
      </rPr>
      <t>, p. 20.</t>
    </r>
  </si>
  <si>
    <r>
      <t xml:space="preserve">Gozco Plantations (2019, April), </t>
    </r>
    <r>
      <rPr>
        <i/>
        <sz val="11"/>
        <color theme="1"/>
        <rFont val="Calibri"/>
        <family val="2"/>
        <scheme val="minor"/>
      </rPr>
      <t>2018 Annual Report: Growing for the Future</t>
    </r>
    <r>
      <rPr>
        <sz val="11"/>
        <color theme="1"/>
        <rFont val="Calibri"/>
        <family val="2"/>
        <scheme val="minor"/>
      </rPr>
      <t>, p. 20.</t>
    </r>
  </si>
  <si>
    <t>Golden Blossom Sumatra</t>
  </si>
  <si>
    <t>Gozco Plantations Tbk PT</t>
  </si>
  <si>
    <t>GOZCO PLANTATIONS TBK PT</t>
  </si>
  <si>
    <t>"The company conducts the business of developing and operating palm oil plantations, trading and processing of crude palm oil and palm kernel through its subsidiaries."</t>
  </si>
  <si>
    <t>Palmdale Agrosia Lestari Makmur</t>
  </si>
  <si>
    <t>PT PALM</t>
  </si>
  <si>
    <t>Suryabumi Agrolanggeng</t>
  </si>
  <si>
    <t>Telaga Sari Persada</t>
  </si>
  <si>
    <t>Hap Seng Group</t>
  </si>
  <si>
    <t>HAP SENG CONSOLIDATED</t>
  </si>
  <si>
    <t>Hap Seng Consolidated has six reportable operating segments: Plantation; Property; Credit Financing; Fertilizer Trading; Quarry &amp; Building Materials, and; Automotive. The palm oil adjuster is based on the Plantation Segment.</t>
  </si>
  <si>
    <r>
      <t xml:space="preserve">Hap Seng Consolidated (2018, April), </t>
    </r>
    <r>
      <rPr>
        <i/>
        <sz val="11"/>
        <color theme="1"/>
        <rFont val="Calibri"/>
        <family val="2"/>
        <scheme val="minor"/>
      </rPr>
      <t>Annual Report 2017</t>
    </r>
    <r>
      <rPr>
        <sz val="11"/>
        <color theme="1"/>
        <rFont val="Calibri"/>
        <family val="2"/>
        <scheme val="minor"/>
      </rPr>
      <t>, p. 250.</t>
    </r>
  </si>
  <si>
    <r>
      <t xml:space="preserve">Hap Seng Consolidated (2019, April), </t>
    </r>
    <r>
      <rPr>
        <i/>
        <sz val="11"/>
        <color theme="1"/>
        <rFont val="Calibri"/>
        <family val="2"/>
        <scheme val="minor"/>
      </rPr>
      <t>Annual Report 2018</t>
    </r>
    <r>
      <rPr>
        <sz val="11"/>
        <color theme="1"/>
        <rFont val="Calibri"/>
        <family val="2"/>
        <scheme val="minor"/>
      </rPr>
      <t>, p. 262.</t>
    </r>
  </si>
  <si>
    <t>Gek Poh(Holdings)Sdn Bhd</t>
  </si>
  <si>
    <t>Hap Seng Consolidated Bhd</t>
  </si>
  <si>
    <r>
      <t xml:space="preserve">Hap Seng Consolidated (2012, April), </t>
    </r>
    <r>
      <rPr>
        <i/>
        <sz val="11"/>
        <color theme="1"/>
        <rFont val="Calibri"/>
        <family val="2"/>
        <scheme val="minor"/>
      </rPr>
      <t>Annual Report 2011</t>
    </r>
    <r>
      <rPr>
        <sz val="11"/>
        <color theme="1"/>
        <rFont val="Calibri"/>
        <family val="2"/>
        <scheme val="minor"/>
      </rPr>
      <t>, p. 144-145.</t>
    </r>
  </si>
  <si>
    <t>Segment additions to non-current assets / capital expenditure. Hap Seng Consolidated has seven reportable operating segments: Plantation; Property; Credit Financing; Automotive; Fertilizer; Quarry &amp; Building Materials, and; Trading. The palm oil adjuster is based on the Plantation segment.</t>
  </si>
  <si>
    <r>
      <t xml:space="preserve">Hap Seng Consolidated (2016, April), </t>
    </r>
    <r>
      <rPr>
        <i/>
        <sz val="11"/>
        <color theme="1"/>
        <rFont val="Calibri"/>
        <family val="2"/>
        <scheme val="minor"/>
      </rPr>
      <t>Annual Report 2015</t>
    </r>
    <r>
      <rPr>
        <sz val="11"/>
        <color theme="1"/>
        <rFont val="Calibri"/>
        <family val="2"/>
        <scheme val="minor"/>
      </rPr>
      <t>, p. 201-202.</t>
    </r>
  </si>
  <si>
    <r>
      <t xml:space="preserve">Hap Seng Consolidated (2018, April), </t>
    </r>
    <r>
      <rPr>
        <i/>
        <sz val="11"/>
        <color theme="1"/>
        <rFont val="Calibri"/>
        <family val="2"/>
        <scheme val="minor"/>
      </rPr>
      <t>Annual Report 2017</t>
    </r>
    <r>
      <rPr>
        <sz val="11"/>
        <color theme="1"/>
        <rFont val="Calibri"/>
        <family val="2"/>
        <scheme val="minor"/>
      </rPr>
      <t>, p. 252.</t>
    </r>
  </si>
  <si>
    <t>HAP SENG CONSOLIDATED BHD</t>
  </si>
  <si>
    <t>Hap Seng Plantations Holdings Bhd</t>
  </si>
  <si>
    <t>"The Group has only one reportable segment" namely palm oil plantations.</t>
  </si>
  <si>
    <r>
      <t xml:space="preserve">Hap Seng Plantations (2016, April), </t>
    </r>
    <r>
      <rPr>
        <i/>
        <sz val="11"/>
        <color theme="1"/>
        <rFont val="Calibri"/>
        <family val="2"/>
        <scheme val="minor"/>
      </rPr>
      <t>Annual Report 2015</t>
    </r>
    <r>
      <rPr>
        <sz val="11"/>
        <color theme="1"/>
        <rFont val="Calibri"/>
        <family val="2"/>
        <scheme val="minor"/>
      </rPr>
      <t>, p. 89.</t>
    </r>
  </si>
  <si>
    <r>
      <t xml:space="preserve">Hap Seng Plantations (2019, April), </t>
    </r>
    <r>
      <rPr>
        <i/>
        <sz val="11"/>
        <color theme="1"/>
        <rFont val="Calibri"/>
        <family val="2"/>
        <scheme val="minor"/>
      </rPr>
      <t>Annual Report 2018</t>
    </r>
    <r>
      <rPr>
        <sz val="11"/>
        <color theme="1"/>
        <rFont val="Calibri"/>
        <family val="2"/>
        <scheme val="minor"/>
      </rPr>
      <t>, p. 116.</t>
    </r>
  </si>
  <si>
    <t>Harita Group</t>
  </si>
  <si>
    <t>Bumitama Agri</t>
  </si>
  <si>
    <t>Agro Sejahtera Manunggal</t>
  </si>
  <si>
    <t>Oil palm plantation and mill company. Bumitama Agri has two reportable operating segments: Plantations &amp; Palm Oil Mills, and; Downstream Biodiesel Refinery. Both these segments are palm oil, therefore the palm oil adjuster is set at 100% for the group and all subsidiaries.</t>
  </si>
  <si>
    <r>
      <t xml:space="preserve">Bumitama Agri (2016, April), </t>
    </r>
    <r>
      <rPr>
        <i/>
        <sz val="11"/>
        <color theme="1"/>
        <rFont val="Calibri"/>
        <family val="2"/>
        <scheme val="minor"/>
      </rPr>
      <t>Annual Report 2015: Moving Forward to a Sustainable Future</t>
    </r>
    <r>
      <rPr>
        <sz val="11"/>
        <color theme="1"/>
        <rFont val="Calibri"/>
        <family val="2"/>
        <scheme val="minor"/>
      </rPr>
      <t>, p. 91, 99.</t>
    </r>
  </si>
  <si>
    <t>Bumitama Agri Ltd</t>
  </si>
  <si>
    <t>BGA Group</t>
  </si>
  <si>
    <t>Bumitama Agri has two reportable operating segments: Plantations &amp; Palm Oil Mills, and; Downstream Biodiesel Refinery. Both these segments are palm oil, therefore the palm oil adjuster is set at 100%.</t>
  </si>
  <si>
    <r>
      <t xml:space="preserve">Bumitama Agri (2016, April), </t>
    </r>
    <r>
      <rPr>
        <i/>
        <sz val="11"/>
        <color theme="1"/>
        <rFont val="Calibri"/>
        <family val="2"/>
        <scheme val="minor"/>
      </rPr>
      <t>Annual Report 2015: Moving Forward to a Sustainable Future</t>
    </r>
    <r>
      <rPr>
        <sz val="11"/>
        <color theme="1"/>
        <rFont val="Calibri"/>
        <family val="2"/>
        <scheme val="minor"/>
      </rPr>
      <t>, p. 91.</t>
    </r>
  </si>
  <si>
    <r>
      <t xml:space="preserve">Bumitama Agri (2019, March), </t>
    </r>
    <r>
      <rPr>
        <i/>
        <sz val="11"/>
        <color theme="1"/>
        <rFont val="Calibri"/>
        <family val="2"/>
        <scheme val="minor"/>
      </rPr>
      <t>Annual Report 2018</t>
    </r>
    <r>
      <rPr>
        <sz val="11"/>
        <color theme="1"/>
        <rFont val="Calibri"/>
        <family val="2"/>
        <scheme val="minor"/>
      </rPr>
      <t>, p. 77.</t>
    </r>
  </si>
  <si>
    <t>BUMITAMA AGRI LTD</t>
  </si>
  <si>
    <t>Bumitama Agri Pte Ltd</t>
  </si>
  <si>
    <t>Bumitama Agri has two reportable operating segments: Plantations &amp; Palm Oil Mills, and; Downstream Biodiesel Refinery. Both these segments are palm oil, therefore the palm oil adjuster is set at 100% for the group and all subsidiaries.</t>
  </si>
  <si>
    <t>Bumitama Gunajaya Abadi</t>
  </si>
  <si>
    <r>
      <t xml:space="preserve">Bumitama Agri (2016, April), </t>
    </r>
    <r>
      <rPr>
        <i/>
        <sz val="11"/>
        <color theme="1"/>
        <rFont val="Calibri"/>
        <family val="2"/>
        <scheme val="minor"/>
      </rPr>
      <t>Annual Report 2015: Moving Forward to a Sustainable Future</t>
    </r>
    <r>
      <rPr>
        <sz val="11"/>
        <color theme="1"/>
        <rFont val="Calibri"/>
        <family val="2"/>
        <scheme val="minor"/>
      </rPr>
      <t>, p. 91, 98.</t>
    </r>
  </si>
  <si>
    <t>BUMITAMA GUNAJAYA AGRO</t>
  </si>
  <si>
    <t>Engaged in Wholesale distribution, agriculture and plantations development. Bumitama Agri has two reportable operating segments: Plantations &amp; Palm Oil Mills, and; Downstream Biodiesel Refinery. Both these segments are palm oil, therefore the palm oil adjuster is set at 100% for the group and all subsidiaries.</t>
  </si>
  <si>
    <r>
      <t xml:space="preserve">Bumitama Agri (2016, April), </t>
    </r>
    <r>
      <rPr>
        <i/>
        <sz val="11"/>
        <color theme="1"/>
        <rFont val="Calibri"/>
        <family val="2"/>
        <scheme val="minor"/>
      </rPr>
      <t>Annual Report 2015: Moving Forward to a Sustainable Future</t>
    </r>
    <r>
      <rPr>
        <sz val="11"/>
        <color theme="1"/>
        <rFont val="Calibri"/>
        <family val="2"/>
        <scheme val="minor"/>
      </rPr>
      <t>, p. 91, 97.</t>
    </r>
  </si>
  <si>
    <t>Fortune Holdings Pte Ltd</t>
  </si>
  <si>
    <t>Gunajay Ketapang Sentosa</t>
  </si>
  <si>
    <t>Oil palm plantation company. Bumitama Agri has two reportable operating segments: Plantations &amp; Palm Oil Mills, and; Downstream Biodiesel Refinery. Both these segments are palm oil, therefore the palm oil adjuster is set at 100% for the group and all subsidiaries.</t>
  </si>
  <si>
    <t>Karya Makmur Bahagia</t>
  </si>
  <si>
    <t>Windu Nabatindo Lestari</t>
  </si>
  <si>
    <t>Windu Nabatindo Lestari, Rohul Sowit Industri, Masuba Citra Mandiri</t>
  </si>
  <si>
    <t>Hoang Anh Gia Lai</t>
  </si>
  <si>
    <t>HAGL</t>
  </si>
  <si>
    <t>Segment assets. HAGL has seven reportable operating segment: Real Estate; Production; Trading &amp; Services; Construction; Power; Mining, and; Agriculture. Within Agriculture HAGL is active in four sectors: Rubber, Oil Palm, Sugar Cane and Cattle Raising. There is no segmentation of capital expenditures or assets within the Agriculture segment, and the revenues are disproportionately high for cattle. Therefore, segment assets of Agriculture are divided into the four sub-sectors.</t>
  </si>
  <si>
    <r>
      <t xml:space="preserve">Hoang Anh Gia Lai (2016, September), </t>
    </r>
    <r>
      <rPr>
        <i/>
        <sz val="11"/>
        <color theme="1"/>
        <rFont val="Calibri"/>
        <family val="2"/>
        <scheme val="minor"/>
      </rPr>
      <t>Annual Report 2015: Solidifying Trust</t>
    </r>
    <r>
      <rPr>
        <sz val="11"/>
        <color theme="1"/>
        <rFont val="Calibri"/>
        <family val="2"/>
        <scheme val="minor"/>
      </rPr>
      <t>, p. 181-182.</t>
    </r>
  </si>
  <si>
    <r>
      <t xml:space="preserve">Hoang Anh Gia Lai (2017, August), </t>
    </r>
    <r>
      <rPr>
        <i/>
        <sz val="11"/>
        <color theme="1"/>
        <rFont val="Calibri"/>
        <family val="2"/>
        <scheme val="minor"/>
      </rPr>
      <t>Annual Report 2016: Sunrise Light</t>
    </r>
    <r>
      <rPr>
        <sz val="11"/>
        <color theme="1"/>
        <rFont val="Calibri"/>
        <family val="2"/>
        <scheme val="minor"/>
      </rPr>
      <t>, p. 161.</t>
    </r>
  </si>
  <si>
    <r>
      <t xml:space="preserve">Hoang Anh Gia Lai (2019, July), </t>
    </r>
    <r>
      <rPr>
        <i/>
        <sz val="11"/>
        <color theme="1"/>
        <rFont val="Calibri"/>
        <family val="2"/>
        <scheme val="minor"/>
      </rPr>
      <t>Annual Report 2018: Sustainable Agriculture Development</t>
    </r>
    <r>
      <rPr>
        <sz val="11"/>
        <color theme="1"/>
        <rFont val="Calibri"/>
        <family val="2"/>
        <scheme val="minor"/>
      </rPr>
      <t>, p. 158-159.</t>
    </r>
  </si>
  <si>
    <t>HAGL Agrico</t>
  </si>
  <si>
    <t>Segment assets. HAGL has seven reportable operating segment: Real Estate; Production; Trading &amp; Services; Construction; Power; Mining, and; Plantation. Within Agriculture HAGL is active in two sectors: Rubber and Sugar Cane. There is no segmentation of capital expenditures or assets within the Plantation segment. Therefore, segment assets of Plantation are divided into the two sub-sectors.</t>
  </si>
  <si>
    <r>
      <t xml:space="preserve">Hoang Anh Gia Lai (2014, May), </t>
    </r>
    <r>
      <rPr>
        <i/>
        <sz val="11"/>
        <color theme="1"/>
        <rFont val="Calibri"/>
        <family val="2"/>
        <scheme val="minor"/>
      </rPr>
      <t>Annual Report 2011: Bridging Opportunities</t>
    </r>
    <r>
      <rPr>
        <sz val="11"/>
        <color theme="1"/>
        <rFont val="Calibri"/>
        <family val="2"/>
        <scheme val="minor"/>
      </rPr>
      <t>, p. 125-126.</t>
    </r>
  </si>
  <si>
    <t>Segment assets. HAGL has seven reportable operating segment: Real Estate; Production; Trading &amp; Services; Construction; Power; Mining, and; Plantation. Within Plantation HAGL is active in three sectors: Rubber, Oil Palm, and Sugar Cane. There is no segmentation of capital expenditures or assets within the Plantation segment. Therefore, segment assets of Plantation are divided into the three sub-sectors.</t>
  </si>
  <si>
    <r>
      <t xml:space="preserve">Hoang Anh Gia Lai (2014, August), </t>
    </r>
    <r>
      <rPr>
        <i/>
        <sz val="11"/>
        <color theme="1"/>
        <rFont val="Calibri"/>
        <family val="2"/>
        <scheme val="minor"/>
      </rPr>
      <t>Annual Report 2013: Focus on Core Resources</t>
    </r>
    <r>
      <rPr>
        <sz val="11"/>
        <color theme="1"/>
        <rFont val="Calibri"/>
        <family val="2"/>
        <scheme val="minor"/>
      </rPr>
      <t>, p. 169-170.</t>
    </r>
  </si>
  <si>
    <t>Within Agriculture HAGL is active in four sectors: Rubber, Oil Palm, Sugar Cane and Cattle Raising. Rubber and Palm oil adjusters are thus set at 1/4.</t>
  </si>
  <si>
    <t>Segment assets. HAGL Agrico has four reportable business segments: Plantation; Breeding &amp; trading; Trading &amp; services, and; Others. The Plantation segment has three commodities: palm oil, rubber and sugar. As there is no further segmentation, the palm oil and rubber adjusters are each 1/3 of the Plantations segment.</t>
  </si>
  <si>
    <r>
      <t xml:space="preserve">HAGL Agrico (2019, July), </t>
    </r>
    <r>
      <rPr>
        <i/>
        <sz val="11"/>
        <color theme="1"/>
        <rFont val="Calibri"/>
        <family val="2"/>
        <scheme val="minor"/>
      </rPr>
      <t>Annual Report 2018: Composite Capacity, Reinforced Internal Force</t>
    </r>
    <r>
      <rPr>
        <sz val="11"/>
        <color theme="1"/>
        <rFont val="Calibri"/>
        <family val="2"/>
        <scheme val="minor"/>
      </rPr>
      <t>, p. 139.</t>
    </r>
  </si>
  <si>
    <r>
      <t xml:space="preserve">HAGL Agrico (2019, July), </t>
    </r>
    <r>
      <rPr>
        <i/>
        <sz val="11"/>
        <color theme="1"/>
        <rFont val="Calibri"/>
        <family val="2"/>
        <scheme val="minor"/>
      </rPr>
      <t>Annual Report 2018: Composite Capacity, Reinforced Internal Force</t>
    </r>
    <r>
      <rPr>
        <sz val="11"/>
        <color theme="1"/>
        <rFont val="Calibri"/>
        <family val="2"/>
        <scheme val="minor"/>
      </rPr>
      <t>, p. 140.</t>
    </r>
  </si>
  <si>
    <t>HAGL Joint Stock Co</t>
  </si>
  <si>
    <t>Hoang Anh Gia Lai Agricultural JSC</t>
  </si>
  <si>
    <t>Hoang Anh Gia Lai JSC</t>
  </si>
  <si>
    <r>
      <t xml:space="preserve">Hoang Anh Gia Lai (2019, July), </t>
    </r>
    <r>
      <rPr>
        <i/>
        <sz val="11"/>
        <color theme="1"/>
        <rFont val="Calibri"/>
        <family val="2"/>
        <scheme val="minor"/>
      </rPr>
      <t>Annual Report 2018: Sustainable Agriculture Development</t>
    </r>
    <r>
      <rPr>
        <sz val="11"/>
        <color theme="1"/>
        <rFont val="Calibri"/>
        <family val="2"/>
        <scheme val="minor"/>
      </rPr>
      <t>, p. 160-161.</t>
    </r>
  </si>
  <si>
    <t>IJM Group</t>
  </si>
  <si>
    <t>IJM Corp Bhd</t>
  </si>
  <si>
    <t>Segment additions to non-current assets. IJM Corporation has five reportable operating segments: Construction; Property Development; Manufacturing &amp; Quarrying; Plantation, and; Infrastructure. The palm oild adjuster is based on the Plantation segment which is soley engaged in the cultivation of oil palms and milling of fresh fruit bunches.</t>
  </si>
  <si>
    <r>
      <t xml:space="preserve">IJM Corporation (2011, July), </t>
    </r>
    <r>
      <rPr>
        <i/>
        <sz val="11"/>
        <color theme="1"/>
        <rFont val="Calibri"/>
        <family val="2"/>
        <scheme val="minor"/>
      </rPr>
      <t xml:space="preserve">Annual Report 2011: Resilient in Growth, </t>
    </r>
    <r>
      <rPr>
        <sz val="11"/>
        <color theme="1"/>
        <rFont val="Calibri"/>
        <family val="2"/>
        <scheme val="minor"/>
      </rPr>
      <t>p. 189, 191.</t>
    </r>
  </si>
  <si>
    <r>
      <t xml:space="preserve">IJM Corporation (2015, July), </t>
    </r>
    <r>
      <rPr>
        <i/>
        <sz val="11"/>
        <color theme="1"/>
        <rFont val="Calibri"/>
        <family val="2"/>
        <scheme val="minor"/>
      </rPr>
      <t xml:space="preserve">Annual Report 2015: Performance, Precision, Potential, </t>
    </r>
    <r>
      <rPr>
        <sz val="11"/>
        <color theme="1"/>
        <rFont val="Calibri"/>
        <family val="2"/>
        <scheme val="minor"/>
      </rPr>
      <t>p. 218, 222.</t>
    </r>
  </si>
  <si>
    <r>
      <t xml:space="preserve">IJM Corporation (2016, August), </t>
    </r>
    <r>
      <rPr>
        <i/>
        <sz val="11"/>
        <color theme="1"/>
        <rFont val="Calibri"/>
        <family val="2"/>
        <scheme val="minor"/>
      </rPr>
      <t xml:space="preserve">Annual Report 2016: Catalysing Growth, </t>
    </r>
    <r>
      <rPr>
        <sz val="11"/>
        <color theme="1"/>
        <rFont val="Calibri"/>
        <family val="2"/>
        <scheme val="minor"/>
      </rPr>
      <t>p. 284, 288.</t>
    </r>
  </si>
  <si>
    <r>
      <t xml:space="preserve">IJM Corporation (2016, August), </t>
    </r>
    <r>
      <rPr>
        <i/>
        <sz val="11"/>
        <color theme="1"/>
        <rFont val="Calibri"/>
        <family val="2"/>
        <scheme val="minor"/>
      </rPr>
      <t xml:space="preserve">Annual Report 2016: Catalysing Growth, </t>
    </r>
    <r>
      <rPr>
        <sz val="11"/>
        <color theme="1"/>
        <rFont val="Calibri"/>
        <family val="2"/>
        <scheme val="minor"/>
      </rPr>
      <t>p. 284, 286.</t>
    </r>
  </si>
  <si>
    <t>IJM</t>
  </si>
  <si>
    <t>IJM CORP BHD</t>
  </si>
  <si>
    <r>
      <t xml:space="preserve">IJM Corporation (2018, July), </t>
    </r>
    <r>
      <rPr>
        <i/>
        <sz val="11"/>
        <color theme="1"/>
        <rFont val="Calibri"/>
        <family val="2"/>
        <scheme val="minor"/>
      </rPr>
      <t xml:space="preserve">Annual Report 2018: 35, </t>
    </r>
    <r>
      <rPr>
        <sz val="11"/>
        <color theme="1"/>
        <rFont val="Calibri"/>
        <family val="2"/>
        <scheme val="minor"/>
      </rPr>
      <t>p. 255.</t>
    </r>
  </si>
  <si>
    <t>IOI</t>
  </si>
  <si>
    <t>IJM CORPORATION BERHAD</t>
  </si>
  <si>
    <r>
      <t xml:space="preserve">IJM Corporation (2018, July), </t>
    </r>
    <r>
      <rPr>
        <i/>
        <sz val="11"/>
        <color theme="1"/>
        <rFont val="Calibri"/>
        <family val="2"/>
        <scheme val="minor"/>
      </rPr>
      <t xml:space="preserve">Annual Report 2017: 35, </t>
    </r>
    <r>
      <rPr>
        <sz val="11"/>
        <color theme="1"/>
        <rFont val="Calibri"/>
        <family val="2"/>
        <scheme val="minor"/>
      </rPr>
      <t>p. 257.</t>
    </r>
  </si>
  <si>
    <t>IJM Corporation Bhd</t>
  </si>
  <si>
    <r>
      <t xml:space="preserve">IJM Corporation (2018, July), </t>
    </r>
    <r>
      <rPr>
        <i/>
        <sz val="11"/>
        <color theme="1"/>
        <rFont val="Calibri"/>
        <family val="2"/>
        <scheme val="minor"/>
      </rPr>
      <t xml:space="preserve">Annual Report 2017: 35, </t>
    </r>
    <r>
      <rPr>
        <sz val="11"/>
        <color theme="1"/>
        <rFont val="Calibri"/>
        <family val="2"/>
        <scheme val="minor"/>
      </rPr>
      <t>p. 255.</t>
    </r>
  </si>
  <si>
    <t>IJM Plantations Bhd</t>
  </si>
  <si>
    <t>"The principal activities of the Group are the cultivation of oil palms and milling of fresh fruit bunches. The operations are geographically located in Malaysia and Indonesia."</t>
  </si>
  <si>
    <r>
      <t xml:space="preserve">IJM Plantations (2017, February), </t>
    </r>
    <r>
      <rPr>
        <i/>
        <sz val="11"/>
        <color theme="1"/>
        <rFont val="Calibri"/>
        <family val="2"/>
        <scheme val="minor"/>
      </rPr>
      <t>Quarterly Report</t>
    </r>
    <r>
      <rPr>
        <sz val="11"/>
        <color theme="1"/>
        <rFont val="Calibri"/>
        <family val="2"/>
        <scheme val="minor"/>
      </rPr>
      <t>, p. 9.</t>
    </r>
  </si>
  <si>
    <t>"The Group principally operates in the cultivation of oil palms and milling of fresh fruit bunches which are geographically located in Malaysia and Indonesia."</t>
  </si>
  <si>
    <r>
      <t>IJM Plantations (2017, February), A</t>
    </r>
    <r>
      <rPr>
        <i/>
        <sz val="11"/>
        <color theme="1"/>
        <rFont val="Calibri"/>
        <family val="2"/>
        <scheme val="minor"/>
      </rPr>
      <t>nnual Report 2019</t>
    </r>
    <r>
      <rPr>
        <sz val="11"/>
        <color theme="1"/>
        <rFont val="Calibri"/>
        <family val="2"/>
        <scheme val="minor"/>
      </rPr>
      <t>, p. 197.</t>
    </r>
  </si>
  <si>
    <t>Innoprise Group</t>
  </si>
  <si>
    <t>Innoprise Plantations Bhd</t>
  </si>
  <si>
    <t>Segment additions to non-current assets. Innoprise has three reportable operating segments: Palm &amp; bio-integration; Timber, and; Corporate. The palm oil adjuster is based on the Palm &amp; bio-integration segment and half of the corporate segment as this latter supports the other two productive segments. The timber adjuster is based on the Timber segment and half of the Corporate segment.</t>
  </si>
  <si>
    <r>
      <t xml:space="preserve">Innoprise Plantations (2016, April), </t>
    </r>
    <r>
      <rPr>
        <i/>
        <sz val="11"/>
        <color theme="1"/>
        <rFont val="Calibri"/>
        <family val="2"/>
        <scheme val="minor"/>
      </rPr>
      <t>Annual Report 2015</t>
    </r>
    <r>
      <rPr>
        <sz val="11"/>
        <color theme="1"/>
        <rFont val="Calibri"/>
        <family val="2"/>
        <scheme val="minor"/>
      </rPr>
      <t>, p. 94-95.</t>
    </r>
  </si>
  <si>
    <r>
      <t xml:space="preserve">Innoprise Plantations (2018, April), </t>
    </r>
    <r>
      <rPr>
        <i/>
        <sz val="11"/>
        <color theme="1"/>
        <rFont val="Calibri"/>
        <family val="2"/>
        <scheme val="minor"/>
      </rPr>
      <t>Annual Report 2017</t>
    </r>
    <r>
      <rPr>
        <sz val="11"/>
        <color theme="1"/>
        <rFont val="Calibri"/>
        <family val="2"/>
        <scheme val="minor"/>
      </rPr>
      <t>, p. 12, 121.</t>
    </r>
  </si>
  <si>
    <r>
      <t xml:space="preserve">Innoprise Plantations (2019, April), </t>
    </r>
    <r>
      <rPr>
        <i/>
        <sz val="11"/>
        <color theme="1"/>
        <rFont val="Calibri"/>
        <family val="2"/>
        <scheme val="minor"/>
      </rPr>
      <t>Annual Report 2018</t>
    </r>
    <r>
      <rPr>
        <sz val="11"/>
        <color theme="1"/>
        <rFont val="Calibri"/>
        <family val="2"/>
        <scheme val="minor"/>
      </rPr>
      <t>, p. 127-128.</t>
    </r>
  </si>
  <si>
    <t>Serijaya Industri</t>
  </si>
  <si>
    <t>Oil palm plantation and mill.</t>
  </si>
  <si>
    <r>
      <t xml:space="preserve">Innoprise Plantations (2018, April), </t>
    </r>
    <r>
      <rPr>
        <i/>
        <sz val="11"/>
        <color theme="1"/>
        <rFont val="Calibri"/>
        <family val="2"/>
        <scheme val="minor"/>
      </rPr>
      <t>Annual Report 2017</t>
    </r>
    <r>
      <rPr>
        <sz val="11"/>
        <color theme="1"/>
        <rFont val="Calibri"/>
        <family val="2"/>
        <scheme val="minor"/>
      </rPr>
      <t>, p. 12.</t>
    </r>
  </si>
  <si>
    <t>IOI Group</t>
  </si>
  <si>
    <t>IOI Corp Bhd</t>
  </si>
  <si>
    <t xml:space="preserve">Segment capital expenditure. IOI has four reportable operating segments: Plantation; Property Development; Property Investment; Resource-based Manufacturing, and; Other operations. The palm oil adjuster is based on the Plantation and Resource-based Manufacturing segments. The Plantation segment is adjuster for the proprtion of rubber in the planted area of the company. The rubber adjuster is based on the proportion of the rubber planted area within the Plantation segment. </t>
  </si>
  <si>
    <r>
      <t xml:space="preserve">IOI Group (2010, September), </t>
    </r>
    <r>
      <rPr>
        <i/>
        <sz val="11"/>
        <color theme="1"/>
        <rFont val="Calibri"/>
        <family val="2"/>
        <scheme val="minor"/>
      </rPr>
      <t>Annual Report 2010: Proven Balance</t>
    </r>
    <r>
      <rPr>
        <sz val="11"/>
        <color theme="1"/>
        <rFont val="Calibri"/>
        <family val="2"/>
        <scheme val="minor"/>
      </rPr>
      <t>, p. 29, 229, 231.</t>
    </r>
  </si>
  <si>
    <t xml:space="preserve">Segment capital expenditure. IOI has three reportable operating segments: Plantation; Resource-based Manufacturing, and; Other operations. The palm oil adjuster is based on the Plantation and Resource-based Manufacturing segments. The Plantation segment is adjuster for the proprtion of rubber in the planted area of the company. The rubber adjuster is based on the proportion of the rubber planted area within the Plantation segment. </t>
  </si>
  <si>
    <r>
      <t xml:space="preserve">IOI Group (2014, September), </t>
    </r>
    <r>
      <rPr>
        <i/>
        <sz val="11"/>
        <color theme="1"/>
        <rFont val="Calibri"/>
        <family val="2"/>
        <scheme val="minor"/>
      </rPr>
      <t>2014 Annual Report: Optimising Potential End to End</t>
    </r>
    <r>
      <rPr>
        <sz val="11"/>
        <color theme="1"/>
        <rFont val="Calibri"/>
        <family val="2"/>
        <scheme val="minor"/>
      </rPr>
      <t>, p. 28, 254, 256.</t>
    </r>
  </si>
  <si>
    <t>IOI CORP BHD</t>
  </si>
  <si>
    <r>
      <t xml:space="preserve">IOI Group (2017, September), </t>
    </r>
    <r>
      <rPr>
        <i/>
        <sz val="11"/>
        <color theme="1"/>
        <rFont val="Calibri"/>
        <family val="2"/>
        <scheme val="minor"/>
      </rPr>
      <t>Annual Report 2017: Staying Resilient and Responsive</t>
    </r>
    <r>
      <rPr>
        <sz val="11"/>
        <color theme="1"/>
        <rFont val="Calibri"/>
        <family val="2"/>
        <scheme val="minor"/>
      </rPr>
      <t>, p. 26, 146.</t>
    </r>
  </si>
  <si>
    <r>
      <t xml:space="preserve">IOI Group (2019, September), </t>
    </r>
    <r>
      <rPr>
        <i/>
        <sz val="11"/>
        <color theme="1"/>
        <rFont val="Calibri"/>
        <family val="2"/>
        <scheme val="minor"/>
      </rPr>
      <t>Annual Report 2019: Driving Sustainble Innovation</t>
    </r>
    <r>
      <rPr>
        <sz val="11"/>
        <color theme="1"/>
        <rFont val="Calibri"/>
        <family val="2"/>
        <scheme val="minor"/>
      </rPr>
      <t>, p. 132.</t>
    </r>
  </si>
  <si>
    <r>
      <t xml:space="preserve">IOI Group (2019, September), </t>
    </r>
    <r>
      <rPr>
        <i/>
        <sz val="11"/>
        <color theme="1"/>
        <rFont val="Calibri"/>
        <family val="2"/>
        <scheme val="minor"/>
      </rPr>
      <t>Annual Report 2019: Driving Sustainble Innovation</t>
    </r>
    <r>
      <rPr>
        <sz val="11"/>
        <color theme="1"/>
        <rFont val="Calibri"/>
        <family val="2"/>
        <scheme val="minor"/>
      </rPr>
      <t>, p. 132-134.</t>
    </r>
  </si>
  <si>
    <t>IOI CORPORATION BERHAD</t>
  </si>
  <si>
    <r>
      <t xml:space="preserve">IOI Group (2016, September), </t>
    </r>
    <r>
      <rPr>
        <i/>
        <sz val="11"/>
        <color theme="1"/>
        <rFont val="Calibri"/>
        <family val="2"/>
        <scheme val="minor"/>
      </rPr>
      <t>2016 Annual Report: Strengthening in Fundamentals</t>
    </r>
    <r>
      <rPr>
        <sz val="11"/>
        <color theme="1"/>
        <rFont val="Calibri"/>
        <family val="2"/>
        <scheme val="minor"/>
      </rPr>
      <t>, p. 26, 249, 251.</t>
    </r>
  </si>
  <si>
    <t>IOI Corporation Bhd</t>
  </si>
  <si>
    <r>
      <t xml:space="preserve">IOI Group (2016, September), </t>
    </r>
    <r>
      <rPr>
        <i/>
        <sz val="11"/>
        <color theme="1"/>
        <rFont val="Calibri"/>
        <family val="2"/>
        <scheme val="minor"/>
      </rPr>
      <t>2016 Annual Report: Strengthening in Fundamentals</t>
    </r>
    <r>
      <rPr>
        <sz val="11"/>
        <color theme="1"/>
        <rFont val="Calibri"/>
        <family val="2"/>
        <scheme val="minor"/>
      </rPr>
      <t>, p. 26, 249-250.</t>
    </r>
  </si>
  <si>
    <t>IOI Investment (L)Bhd</t>
  </si>
  <si>
    <t xml:space="preserve">IOI Investment is a financing subsidiary, group level adjusters are applied. Segment capital expenditure. IOI has four reportable operating segments: Plantation; Property Development; Property Investment; Resource-based Manufacturing, and; Other operations. The palm oil adjuster is based on the Plantation and Resource-based Manufacturing segments. The Plantation segment is adjuster for the proprtion of rubber in the planted area of the company. The rubber adjuster is based on the proportion of the rubber planted area within the Plantation segment. </t>
  </si>
  <si>
    <r>
      <t xml:space="preserve">IOI Group (2012, September), </t>
    </r>
    <r>
      <rPr>
        <i/>
        <sz val="11"/>
        <color theme="1"/>
        <rFont val="Calibri"/>
        <family val="2"/>
        <scheme val="minor"/>
      </rPr>
      <t>Annual Report 2012: Innovation on Growth Sustainability</t>
    </r>
    <r>
      <rPr>
        <sz val="11"/>
        <color theme="1"/>
        <rFont val="Calibri"/>
        <family val="2"/>
        <scheme val="minor"/>
      </rPr>
      <t>, p. 250-251, 257.</t>
    </r>
  </si>
  <si>
    <t>IOI INVESTMENT BHD</t>
  </si>
  <si>
    <t xml:space="preserve">IOI Investment is a financing subsidiary, group level adjusters are applied. Segment capital expenditure. IOI has three reportable operating segments: Plantation; Resource-based Manufacturing, and; Other operations. The palm oil adjuster is based on the Plantation and Resource-based Manufacturing segments. The Plantation segment is adjuster for the proprtion of rubber in the planted area of the company. The rubber adjuster is based on the proportion of the rubber planted area within the Plantation segment. </t>
  </si>
  <si>
    <r>
      <t xml:space="preserve">IOI Group (2016, September), </t>
    </r>
    <r>
      <rPr>
        <i/>
        <sz val="11"/>
        <color theme="1"/>
        <rFont val="Calibri"/>
        <family val="2"/>
        <scheme val="minor"/>
      </rPr>
      <t>2016 Annual Report: Strengthening in Fundamentals</t>
    </r>
    <r>
      <rPr>
        <sz val="11"/>
        <color theme="1"/>
        <rFont val="Calibri"/>
        <family val="2"/>
        <scheme val="minor"/>
      </rPr>
      <t>, p. 26, 249, 251, 276.</t>
    </r>
  </si>
  <si>
    <t>IOI Management Sdn Bhd</t>
  </si>
  <si>
    <t xml:space="preserve">IOI Management is a financing subsidiary, group level adjusters are applied. Segment capital expenditure. IOI has four reportable operating segments: Plantation; Property Development; Property Investment; Resource-based Manufacturing, and; Other operations. The palm oil adjuster is based on the Plantation and Resource-based Manufacturing segments. The Plantation segment is adjuster for the proprtion of rubber in the planted area of the company. The rubber adjuster is based on the proportion of the rubber planted area within the Plantation segment. </t>
  </si>
  <si>
    <r>
      <t xml:space="preserve">IOI Group (2012, September), </t>
    </r>
    <r>
      <rPr>
        <i/>
        <sz val="11"/>
        <color theme="1"/>
        <rFont val="Calibri"/>
        <family val="2"/>
        <scheme val="minor"/>
      </rPr>
      <t>Annual Report 2012: Innovation on Growth Sustainability</t>
    </r>
    <r>
      <rPr>
        <sz val="11"/>
        <color theme="1"/>
        <rFont val="Calibri"/>
        <family val="2"/>
        <scheme val="minor"/>
      </rPr>
      <t>, p. 250, 252, 257.</t>
    </r>
  </si>
  <si>
    <t xml:space="preserve">IOI Management is a financing subsidiary, group level adjusters are applied. Segment capital expenditure. IOI has three reportable operating segments: Plantation; Resource-based Manufacturing, and; Other operations. The palm oil adjuster is based on the Plantation and Resource-based Manufacturing segments. The Plantation segment is adjuster for the proprtion of rubber in the planted area of the company. The rubber adjuster is based on the proportion of the rubber planted area within the Plantation segment. </t>
  </si>
  <si>
    <r>
      <t xml:space="preserve">IOI Group (2016, September), </t>
    </r>
    <r>
      <rPr>
        <i/>
        <sz val="11"/>
        <color theme="1"/>
        <rFont val="Calibri"/>
        <family val="2"/>
        <scheme val="minor"/>
      </rPr>
      <t>2016 Annual Report: Strengthening in Fundamentals</t>
    </r>
    <r>
      <rPr>
        <sz val="11"/>
        <color theme="1"/>
        <rFont val="Calibri"/>
        <family val="2"/>
        <scheme val="minor"/>
      </rPr>
      <t>, p. 26, 249, 251, 275.</t>
    </r>
  </si>
  <si>
    <t>IOI VENTURES (L) BHD</t>
  </si>
  <si>
    <t>IOI VENTURES (L)BERHAD</t>
  </si>
  <si>
    <t>Unico-Desa Plantations</t>
  </si>
  <si>
    <t>Cultivation of oil palm, processing of palm oil
and investment holding</t>
  </si>
  <si>
    <r>
      <t xml:space="preserve">IOI Group (2017, September), </t>
    </r>
    <r>
      <rPr>
        <i/>
        <sz val="11"/>
        <color theme="1"/>
        <rFont val="Calibri"/>
        <family val="2"/>
        <scheme val="minor"/>
      </rPr>
      <t>Annual Report 2017: Staying Resilient and Responsive</t>
    </r>
    <r>
      <rPr>
        <sz val="11"/>
        <color theme="1"/>
        <rFont val="Calibri"/>
        <family val="2"/>
        <scheme val="minor"/>
      </rPr>
      <t>, p. 229.</t>
    </r>
  </si>
  <si>
    <t>Itochu</t>
  </si>
  <si>
    <t>Fuji Oil Co Ltd</t>
  </si>
  <si>
    <t>As the segment breakdowns in 2010 and 2011 are not detailed enoug for adjusters, and the average proportion is similar from 2013-2016, the 2013 adjusters are used for 2010 and 2011.</t>
  </si>
  <si>
    <t>Fuji Oil Holdings (2015, February), "Announcement of the Settlement of Accounts for the Third Quarter of the Year Ending March 2015", online: http://www.fujioilholdings.com/en/news/150206.html, viewed in April 2017.</t>
  </si>
  <si>
    <t>Fuji Oil Holdings Inc</t>
  </si>
  <si>
    <t>Proportion of revenues. Fuji Oil has three reportable operating segments: Oils &amp; Fats Processing Division; Confectionery &amp; Bakery Ingredients Division, and; Soy Protein Division. Palm oil adjuster is based on 3/4 Oils &amp; Fats Processing Division which seems to be dominated by palm oil with some coconut oil.</t>
  </si>
  <si>
    <t>Fuji Oil Holdings (2017, February), "Announcement of the Settlement of Accounts for the Third Quarter of the Year Ending March 2017", online: http://www.fujioilholdings.com/en/news/160511.html, viewed in April 2017.</t>
  </si>
  <si>
    <t>FUJI OIL CO LTD</t>
  </si>
  <si>
    <r>
      <t xml:space="preserve">Fuji Oil Holdings (2019, August), </t>
    </r>
    <r>
      <rPr>
        <i/>
        <sz val="11"/>
        <color theme="1"/>
        <rFont val="Calibri"/>
        <family val="2"/>
        <scheme val="minor"/>
      </rPr>
      <t>Integrated Report 2019</t>
    </r>
    <r>
      <rPr>
        <sz val="11"/>
        <color theme="1"/>
        <rFont val="Calibri"/>
        <family val="2"/>
        <scheme val="minor"/>
      </rPr>
      <t>, p. 43.</t>
    </r>
  </si>
  <si>
    <t>FUJI OIL HLDG</t>
  </si>
  <si>
    <t>FUJI OIL HOLDINGS</t>
  </si>
  <si>
    <r>
      <t xml:space="preserve">Fuji Oil Holdings (2018, August), </t>
    </r>
    <r>
      <rPr>
        <i/>
        <sz val="11"/>
        <color theme="1"/>
        <rFont val="Calibri"/>
        <family val="2"/>
        <scheme val="minor"/>
      </rPr>
      <t>Integrated Report 2018</t>
    </r>
    <r>
      <rPr>
        <sz val="11"/>
        <color theme="1"/>
        <rFont val="Calibri"/>
        <family val="2"/>
        <scheme val="minor"/>
      </rPr>
      <t>, p. 44.</t>
    </r>
  </si>
  <si>
    <t>Fuji Oils</t>
  </si>
  <si>
    <t>FUJI OIL HOLDINGS INC</t>
  </si>
  <si>
    <t>FUJI OIL HOLDINGS INC.</t>
  </si>
  <si>
    <t>Itochu Corp</t>
  </si>
  <si>
    <r>
      <t>Segment assets. Itochu has seven reportable operating segments: Textile; Machinery; Energy, Metals &amp; Minerals; ICT, Aerospace &amp; Electronics; Finance, Realty, Insurance &amp; Logistics Services; Food, and; Chemicals, Forest Products &amp; General Merchandize. The  Chemicals, Forest Products &amp; General Merchandize</t>
    </r>
    <r>
      <rPr>
        <sz val="11"/>
        <color rgb="FFFF0000"/>
        <rFont val="Calibri"/>
        <family val="2"/>
        <scheme val="minor"/>
      </rPr>
      <t xml:space="preserve"> segment is composed of Forest Products &amp; General Merchandize and Chemicals sub-segments. Rubber, pulp &amp; paper, and timber fall within the Forest Products &amp; General Merchandize sub-segment. Within the Forest P</t>
    </r>
    <r>
      <rPr>
        <sz val="11"/>
        <color theme="1"/>
        <rFont val="Calibri"/>
        <family val="2"/>
        <scheme val="minor"/>
      </rPr>
      <t>roducts &amp; General Merchandize sub-segment there are roughly four commodity groups: timber, pulp &amp; paper, rubber, and other. The timber, pulp &amp; paper and rubber adjusters therefore each represent a quarter of the total revenue attributable to the Forest Products &amp; General Merchandize sub-segment within the Chemicals, Forest Products &amp; General Merchandize segment. As there is no breakdown of sub-segments assets in the 2010 report and sub-segment grsoss trading profit attributable to Forest Products &amp; General Merchandize is used. Palm oil is included in Itochu's Food segment. As there is insufficient subsidiary level data regarding asset or revenue breakdowns for the years 2010 and 2011, the average of the palm oil adjuster for the period 2012-2016 is used.</t>
    </r>
  </si>
  <si>
    <r>
      <t xml:space="preserve">Itochu (2010, August), </t>
    </r>
    <r>
      <rPr>
        <i/>
        <sz val="11"/>
        <color theme="1"/>
        <rFont val="Calibri"/>
        <family val="2"/>
        <scheme val="minor"/>
      </rPr>
      <t>Annual Report 2010: Capturing New Growth Opportunties</t>
    </r>
    <r>
      <rPr>
        <sz val="11"/>
        <color theme="1"/>
        <rFont val="Calibri"/>
        <family val="2"/>
        <scheme val="minor"/>
      </rPr>
      <t>, p. 41, 135.</t>
    </r>
  </si>
  <si>
    <t>Segment assets. Itochu has six reportable operating segments: Textile; Machinery; Metals &amp; Minerals; Energy &amp; Chemicals; Food, and; ICT, General Products &amp; Realty. The  ICT, General Products &amp; Realty segment is composed of Forest Products &amp; General Merchandize; Construction, Realty &amp; Financial Busines, and; ICT, Insurance &amp; Logistics sub-segments. Rubber, pulp &amp; paper, and timber fall within the Forest Products &amp; General Merchandize sub-segment. Within the Forest Products &amp; General Merchandize sub-segment there are roughly four commodity groups: timber, pulp &amp; paper, rubber, and other. The timber, pulp &amp; paper and rubber adjusters therefore each represent a quarter of the total assets attributable to the Forest Products &amp; General Merchandize sub-segment within the  ICT, General Products &amp; Realty segment.Itochu's palm oil is solely produced by Fuji Oil. Palm oil is included in Itochu's Food segment. As there is insufficient subsidiary level data regarding asset or revenue breakdowns for the years 2010 and 2011, the average of the palm oil adjuster for the period 2012-2016 is used.</t>
  </si>
  <si>
    <r>
      <t xml:space="preserve">Itochu (2013, August), </t>
    </r>
    <r>
      <rPr>
        <i/>
        <sz val="11"/>
        <color theme="1"/>
        <rFont val="Calibri"/>
        <family val="2"/>
        <scheme val="minor"/>
      </rPr>
      <t>Annual Report 2013: Brand-new Deal 2014</t>
    </r>
    <r>
      <rPr>
        <sz val="11"/>
        <color theme="1"/>
        <rFont val="Calibri"/>
        <family val="2"/>
        <scheme val="minor"/>
      </rPr>
      <t xml:space="preserve">, p. 17, 72; Itochu (2013, August), </t>
    </r>
    <r>
      <rPr>
        <i/>
        <sz val="11"/>
        <color theme="1"/>
        <rFont val="Calibri"/>
        <family val="2"/>
        <scheme val="minor"/>
      </rPr>
      <t>Annual Report 2013 - Financial Section</t>
    </r>
    <r>
      <rPr>
        <sz val="11"/>
        <color theme="1"/>
        <rFont val="Calibri"/>
        <family val="2"/>
        <scheme val="minor"/>
      </rPr>
      <t>, p. 65.</t>
    </r>
  </si>
  <si>
    <t>Segment assets. Itochu has six reportable operating segments: Textile; Machinery; Metals &amp; Minerals; Energy &amp; Chemicals; Food, and; ICT, General Products &amp; Realty. The  ICT, General Products &amp; Realty segment is composed of Forest Products &amp; General Merchandize; Construction, Realty &amp; Financial Busines, and; ICT, Insurance &amp; Logistics sub-segments. Rubber, pulp &amp; paper, and timber fall within the Forest Products &amp; General Merchandize sub-segment. Within the Forest Products &amp; General Merchandize sub-segment there are roughly four commodity groups: timber, pulp &amp; paper, rubber, and other. The timber, pulp &amp; paper and rubber adjusters therefore each represent a quarter of the total assets attributable to the Forest Products &amp; General Merchandize sub-segment within the  ICT, General Products &amp; Realty segment.Itochu's palm oil is solely produced by Fuji Oil. Palm oil is included in Itochu's Food segment. Therefore, the palm oil adjuster is Fuji Oil's palm oil proportions, applied to the Fuji Oil's contribution to the revenue of Itochu. Contribution to revenues is the only breakdown at the company level.</t>
  </si>
  <si>
    <r>
      <t xml:space="preserve">Itochu (2013, August), </t>
    </r>
    <r>
      <rPr>
        <i/>
        <sz val="11"/>
        <color theme="1"/>
        <rFont val="Calibri"/>
        <family val="2"/>
        <scheme val="minor"/>
      </rPr>
      <t>Annual Report 2013: Brand-new Deal 2014</t>
    </r>
    <r>
      <rPr>
        <sz val="11"/>
        <color theme="1"/>
        <rFont val="Calibri"/>
        <family val="2"/>
        <scheme val="minor"/>
      </rPr>
      <t xml:space="preserve">, p. 17, 72; Itochu (2013, August), </t>
    </r>
    <r>
      <rPr>
        <i/>
        <sz val="11"/>
        <color theme="1"/>
        <rFont val="Calibri"/>
        <family val="2"/>
        <scheme val="minor"/>
      </rPr>
      <t>Annual Report 2013 - Financial Section</t>
    </r>
    <r>
      <rPr>
        <sz val="11"/>
        <color theme="1"/>
        <rFont val="Calibri"/>
        <family val="2"/>
        <scheme val="minor"/>
      </rPr>
      <t>, p. 65;  Itochu (2016, July),</t>
    </r>
    <r>
      <rPr>
        <i/>
        <sz val="11"/>
        <color theme="1"/>
        <rFont val="Calibri"/>
        <family val="2"/>
        <scheme val="minor"/>
      </rPr>
      <t xml:space="preserve"> Annual Report 2016</t>
    </r>
    <r>
      <rPr>
        <sz val="11"/>
        <color theme="1"/>
        <rFont val="Calibri"/>
        <family val="2"/>
        <scheme val="minor"/>
      </rPr>
      <t>, p. 24, 83; Fuji Oil Holdings (2015, February), "Announcement of the Settlement of Accounts for the Third Quarter of the Year Ending March 2015", online: http://www.fujioilholdings.com/en/news/150206.html, viewed in April 2017.</t>
    </r>
  </si>
  <si>
    <r>
      <t xml:space="preserve">Itochu (2013, August), </t>
    </r>
    <r>
      <rPr>
        <i/>
        <sz val="11"/>
        <color theme="1"/>
        <rFont val="Calibri"/>
        <family val="2"/>
        <scheme val="minor"/>
      </rPr>
      <t>Annual Report 2013: Brand-new Deal 2014</t>
    </r>
    <r>
      <rPr>
        <sz val="11"/>
        <color theme="1"/>
        <rFont val="Calibri"/>
        <family val="2"/>
        <scheme val="minor"/>
      </rPr>
      <t xml:space="preserve">, p. 17, 72; Itochu (2013, August), </t>
    </r>
    <r>
      <rPr>
        <i/>
        <sz val="11"/>
        <color theme="1"/>
        <rFont val="Calibri"/>
        <family val="2"/>
        <scheme val="minor"/>
      </rPr>
      <t>Annual Report 2013 - Financial Section</t>
    </r>
    <r>
      <rPr>
        <sz val="11"/>
        <color theme="1"/>
        <rFont val="Calibri"/>
        <family val="2"/>
        <scheme val="minor"/>
      </rPr>
      <t xml:space="preserve">, p. 65;  Itochu (2016, July), </t>
    </r>
    <r>
      <rPr>
        <i/>
        <sz val="11"/>
        <color theme="1"/>
        <rFont val="Calibri"/>
        <family val="2"/>
        <scheme val="minor"/>
      </rPr>
      <t>Annual Report 2016</t>
    </r>
    <r>
      <rPr>
        <sz val="11"/>
        <color theme="1"/>
        <rFont val="Calibri"/>
        <family val="2"/>
        <scheme val="minor"/>
      </rPr>
      <t>, p. 24, 83; Fuji Oil Holdings (2015, February), "Announcement of the Settlement of Accounts for the Third Quarter of the Year Ending March 2015", online: http://www.fujioilholdings.com/en/news/150206.html, viewed in April 2017.</t>
    </r>
  </si>
  <si>
    <r>
      <t xml:space="preserve">Itochu (2014, August), </t>
    </r>
    <r>
      <rPr>
        <i/>
        <sz val="11"/>
        <color theme="1"/>
        <rFont val="Calibri"/>
        <family val="2"/>
        <scheme val="minor"/>
      </rPr>
      <t>Annual Report 2014: Brand-new Deal 2014</t>
    </r>
    <r>
      <rPr>
        <sz val="11"/>
        <color theme="1"/>
        <rFont val="Calibri"/>
        <family val="2"/>
        <scheme val="minor"/>
      </rPr>
      <t xml:space="preserve">, p. 17, 66; Fuji Oil Holdings (2015, February), "Announcement of the Settlement of Accounts for the Third Quarter of the Year Ending March 2015", online: http://www.fujioilholdings.com/en/news/150206.html, viewed in April 2017;  Itochu (2016, July), </t>
    </r>
    <r>
      <rPr>
        <i/>
        <sz val="11"/>
        <color theme="1"/>
        <rFont val="Calibri"/>
        <family val="2"/>
        <scheme val="minor"/>
      </rPr>
      <t>Annual Report 2016</t>
    </r>
    <r>
      <rPr>
        <sz val="11"/>
        <color theme="1"/>
        <rFont val="Calibri"/>
        <family val="2"/>
        <scheme val="minor"/>
      </rPr>
      <t>, p. 24, 83.</t>
    </r>
  </si>
  <si>
    <t>Segment assets. Itochu has seven reportable operating segments: Textile; Machinery; Metals &amp; Minerals; Energy &amp; Chemicals; Food; General Products &amp; Realty, and; ICT &amp; Financial Business. The General Products &amp; Realty segment is composed of Forest Products &amp; General Merchandize and Construction, Realty &amp; Logisitics sub-segments. Rubber, pulp &amp; paper, and timber fall within the Forest Products &amp; General Merchandize sub-segment. Within the Forest Products &amp; General Merchandize sub-segment there are roughly four commodity groups: timber, pulp &amp; paper, rubber, and other. The timber, pulp &amp; paper and rubber adjusters therefore each represent a quarter of the total assets attributable to the Forest Products &amp; General Merchandize sub-segment within the General Products &amp; Realty segment. Itochu's palm oil is solely produced by Fuji Oil. Palm oil is included in Itochu's Food segment. Therefore, the palm oil adjuster is Fuji Oil's palm oil proportions, applied to the Fuji Oil's contribution to the revenue of Itochu. Contribution to revenues is the only breakdown at the company level.</t>
  </si>
  <si>
    <r>
      <t xml:space="preserve">Itochu (2015, August), </t>
    </r>
    <r>
      <rPr>
        <i/>
        <sz val="11"/>
        <color theme="1"/>
        <rFont val="Calibri"/>
        <family val="2"/>
        <scheme val="minor"/>
      </rPr>
      <t>Annual Report 2015: Brand-new Deal Challenge 2017</t>
    </r>
    <r>
      <rPr>
        <sz val="11"/>
        <color theme="1"/>
        <rFont val="Calibri"/>
        <family val="2"/>
        <scheme val="minor"/>
      </rPr>
      <t xml:space="preserve">, p. 20, 67; Itochu (2016, July), </t>
    </r>
    <r>
      <rPr>
        <i/>
        <sz val="11"/>
        <color theme="1"/>
        <rFont val="Calibri"/>
        <family val="2"/>
        <scheme val="minor"/>
      </rPr>
      <t>Annual Report 2016</t>
    </r>
    <r>
      <rPr>
        <sz val="11"/>
        <color theme="1"/>
        <rFont val="Calibri"/>
        <family val="2"/>
        <scheme val="minor"/>
      </rPr>
      <t>, p. 24, 83; Fuji Oil Holdings (2017, February), "Announcement of the Settlement of Accounts for the Third Quarter of the Year Ending March 2017", online: http://www.fujioilholdings.com/en/news/160511.html, viewed in April 2017.</t>
    </r>
  </si>
  <si>
    <r>
      <t xml:space="preserve">Itochu (2016, July), </t>
    </r>
    <r>
      <rPr>
        <i/>
        <sz val="11"/>
        <color theme="1"/>
        <rFont val="Calibri"/>
        <family val="2"/>
        <scheme val="minor"/>
      </rPr>
      <t>Annual Report 2016</t>
    </r>
    <r>
      <rPr>
        <sz val="11"/>
        <color theme="1"/>
        <rFont val="Calibri"/>
        <family val="2"/>
        <scheme val="minor"/>
      </rPr>
      <t>, p. 24, 83; Fuji Oil Holdings (2017, February), "Announcement of the Settlement of Accounts for the Third Quarter of the Year Ending March 2017", online: http://www.fujioilholdings.com/en/news/160511.html, viewed in April 2017.</t>
    </r>
  </si>
  <si>
    <r>
      <t xml:space="preserve">Itochu (2018, August), </t>
    </r>
    <r>
      <rPr>
        <i/>
        <sz val="11"/>
        <color theme="1"/>
        <rFont val="Calibri"/>
        <family val="2"/>
        <scheme val="minor"/>
      </rPr>
      <t>Annual Report 2018</t>
    </r>
    <r>
      <rPr>
        <sz val="11"/>
        <color theme="1"/>
        <rFont val="Calibri"/>
        <family val="2"/>
        <scheme val="minor"/>
      </rPr>
      <t>, p. 37, 91, 95.</t>
    </r>
  </si>
  <si>
    <t>ITOCHU CORP</t>
  </si>
  <si>
    <t>ITOCHU CORP.</t>
  </si>
  <si>
    <t>ITOCHU CORPORATION</t>
  </si>
  <si>
    <t>ITOCHU ENEX CO LTD</t>
  </si>
  <si>
    <t>Oil &amp; gas company</t>
  </si>
  <si>
    <r>
      <t xml:space="preserve">Itochu (2018, August), </t>
    </r>
    <r>
      <rPr>
        <i/>
        <sz val="11"/>
        <color theme="1"/>
        <rFont val="Calibri"/>
        <family val="2"/>
        <scheme val="minor"/>
      </rPr>
      <t>Annual Report 2018</t>
    </r>
    <r>
      <rPr>
        <sz val="11"/>
        <color theme="1"/>
        <rFont val="Calibri"/>
        <family val="2"/>
        <scheme val="minor"/>
      </rPr>
      <t>, p. 87.</t>
    </r>
  </si>
  <si>
    <t>ITOCHU TREASURY CNTR EUR</t>
  </si>
  <si>
    <t>Itochu Treasury is a financing subsidiary therefore group level adjusters are applied. Segment assets. Itochu has seven reportable operating segments: Textile; Machinery; Metals &amp; Minerals; Energy &amp; Chemicals; Food; General Products &amp; Realty, and; ICT &amp; Financial Business. The General Products &amp; Realty segment is composed of Forest Products &amp; General Merchandize and Construction, Realty &amp; Logisitics sub-segments. Rubber, pulp &amp; paper, and timber fall within the Forest Products &amp; General Merchandize sub-segment. Within the Forest Products &amp; General Merchandize sub-segment there are roughly four commodity groups: timber, pulp &amp; paper, rubber, and other. The timber, pulp &amp; paper and rubber adjusters therefore each represent a quarter of the total assets attributable to the Forest Products &amp; General Merchandize sub-segment within the General Products &amp; Realty segment. Itochu's palm oil is solely produced by Fuji Oil. Palm oil is included in Itochu's Food segment. Therefore, the palm oil adjuster is Fuji Oil's palm oil proportions, applied to the Fuji Oil's contribution to the revenue of Itochu. Contribution to revenues is the only breakdown at the company level.</t>
  </si>
  <si>
    <t>Japan Kenzai</t>
  </si>
  <si>
    <t>JK HOLDINGS CO LTD</t>
  </si>
  <si>
    <t>Jardine Matheson Group</t>
  </si>
  <si>
    <t>Astra Agro Lestari</t>
  </si>
  <si>
    <t>"The Group principally operates in one operating segment which is palm oil business."</t>
  </si>
  <si>
    <r>
      <t xml:space="preserve">Astra Agro Lestari (2017, February), </t>
    </r>
    <r>
      <rPr>
        <i/>
        <sz val="11"/>
        <color theme="1"/>
        <rFont val="Calibri"/>
        <family val="2"/>
        <scheme val="minor"/>
      </rPr>
      <t>Consolidated Financial Statements 31 December 2016</t>
    </r>
    <r>
      <rPr>
        <sz val="11"/>
        <color theme="1"/>
        <rFont val="Calibri"/>
        <family val="2"/>
        <scheme val="minor"/>
      </rPr>
      <t>, p. 66.</t>
    </r>
  </si>
  <si>
    <t>Jardine Matheson</t>
  </si>
  <si>
    <t>Astra Agro Lestari (2019, April), Fostering Partnership: 2018 Annual Report, p. 208.</t>
  </si>
  <si>
    <t>Jardine Matheson Holdings Ltd</t>
  </si>
  <si>
    <t>ASTRA AGRO LESTARI TBK PT</t>
  </si>
  <si>
    <t>Astra Agro Lestari Tbk PT</t>
  </si>
  <si>
    <t>ASTRA INTERNATIONAL PT</t>
  </si>
  <si>
    <t>Segment capital expenditures. Astra International has seven reportable operating segments: Automotive; Financial Services; Heavy Equipment &amp; Mining; Agribusiness; Infrastructure &amp; Logistics; Information Technology, and; Property. The palm oil adjuster is based on the Agribusiness segment, which is purely engaged in palm oil through Astra Agro Lestari.</t>
  </si>
  <si>
    <r>
      <t xml:space="preserve">Astra International (2018, February), </t>
    </r>
    <r>
      <rPr>
        <i/>
        <sz val="11"/>
        <color theme="1"/>
        <rFont val="Calibri"/>
        <family val="2"/>
        <scheme val="minor"/>
      </rPr>
      <t xml:space="preserve">Annual Report 2017: Buidling up Our Natural Capabilities, </t>
    </r>
    <r>
      <rPr>
        <sz val="11"/>
        <color theme="1"/>
        <rFont val="Calibri"/>
        <family val="2"/>
        <scheme val="minor"/>
      </rPr>
      <t>p. FS-91.</t>
    </r>
  </si>
  <si>
    <t>Astra International Tbk PT</t>
  </si>
  <si>
    <r>
      <t xml:space="preserve">Astra International (2011, May), </t>
    </r>
    <r>
      <rPr>
        <i/>
        <sz val="11"/>
        <color theme="1"/>
        <rFont val="Calibri"/>
        <family val="2"/>
        <scheme val="minor"/>
      </rPr>
      <t xml:space="preserve">Annual Report 2010: On the Move, </t>
    </r>
    <r>
      <rPr>
        <sz val="11"/>
        <color theme="1"/>
        <rFont val="Calibri"/>
        <family val="2"/>
        <scheme val="minor"/>
      </rPr>
      <t>p. 46-47, FS-73.</t>
    </r>
  </si>
  <si>
    <r>
      <t xml:space="preserve">Astra International (2013, April), </t>
    </r>
    <r>
      <rPr>
        <i/>
        <sz val="11"/>
        <color theme="1"/>
        <rFont val="Calibri"/>
        <family val="2"/>
        <scheme val="minor"/>
      </rPr>
      <t xml:space="preserve">Annual Report 2012: Turning Challenges into Growth Opportunities, </t>
    </r>
    <r>
      <rPr>
        <sz val="11"/>
        <color theme="1"/>
        <rFont val="Calibri"/>
        <family val="2"/>
        <scheme val="minor"/>
      </rPr>
      <t>p. 58-59, FS-86.</t>
    </r>
  </si>
  <si>
    <r>
      <t xml:space="preserve">Astra International (2015, April), </t>
    </r>
    <r>
      <rPr>
        <i/>
        <sz val="11"/>
        <color theme="1"/>
        <rFont val="Calibri"/>
        <family val="2"/>
        <scheme val="minor"/>
      </rPr>
      <t xml:space="preserve">Annual Report 2014: Keep Progressing Forward, </t>
    </r>
    <r>
      <rPr>
        <sz val="11"/>
        <color theme="1"/>
        <rFont val="Calibri"/>
        <family val="2"/>
        <scheme val="minor"/>
      </rPr>
      <t>p. 66-67, FS-84.</t>
    </r>
  </si>
  <si>
    <r>
      <t xml:space="preserve">Astra International (2017, March), </t>
    </r>
    <r>
      <rPr>
        <i/>
        <sz val="11"/>
        <color theme="1"/>
        <rFont val="Calibri"/>
        <family val="2"/>
        <scheme val="minor"/>
      </rPr>
      <t xml:space="preserve">Annual Report 2016: Paving the Way for the Next Level of Growth, </t>
    </r>
    <r>
      <rPr>
        <sz val="11"/>
        <color theme="1"/>
        <rFont val="Calibri"/>
        <family val="2"/>
        <scheme val="minor"/>
      </rPr>
      <t>p. 68-69, FS-89.</t>
    </r>
  </si>
  <si>
    <r>
      <t xml:space="preserve">Astra International (2019, April), </t>
    </r>
    <r>
      <rPr>
        <i/>
        <sz val="11"/>
        <color theme="1"/>
        <rFont val="Calibri"/>
        <family val="2"/>
        <scheme val="minor"/>
      </rPr>
      <t xml:space="preserve">Annual Report 2019: Innovation and Digitilization - Creating Value to Sustain Growth, </t>
    </r>
    <r>
      <rPr>
        <sz val="11"/>
        <color theme="1"/>
        <rFont val="Calibri"/>
        <family val="2"/>
        <scheme val="minor"/>
      </rPr>
      <t>p. FS-94.</t>
    </r>
  </si>
  <si>
    <t>ASTRA INTERNATIONAL TBK PT</t>
  </si>
  <si>
    <t>Jardine Cycle &amp; Carriage Ltd</t>
  </si>
  <si>
    <t>Astra International's segment adjuster applied to Astra's proportion of Jardine Cycle &amp; Carriage's total revenues.</t>
  </si>
  <si>
    <t>Jardine Cycle &amp; Carriage (2018, March), Annual Report 2017, p. 137.</t>
  </si>
  <si>
    <t>Jardine Cycle &amp; Carriage (2019, March), Annual Report 2018, p. 160.</t>
  </si>
  <si>
    <t>JARDINE CYCLE &amp; CARRIAGE LTD</t>
  </si>
  <si>
    <t>Insufficient relevant figures for 2015, therefore 2016 figures used. Segment capital expenditures. Jardine Matheson reports segments using the names and figures for its subsidiaries. Therefore, the palm oil adjuster is based on the palm oil proportions of Astra International within Jardine Matheson's total.</t>
  </si>
  <si>
    <r>
      <t xml:space="preserve">Jardine Matheson (2017, March), </t>
    </r>
    <r>
      <rPr>
        <i/>
        <sz val="11"/>
        <color theme="1"/>
        <rFont val="Calibri"/>
        <family val="2"/>
        <scheme val="minor"/>
      </rPr>
      <t>Annual Report 2016</t>
    </r>
    <r>
      <rPr>
        <sz val="11"/>
        <color theme="1"/>
        <rFont val="Calibri"/>
        <family val="2"/>
        <scheme val="minor"/>
      </rPr>
      <t xml:space="preserve">, p. 8; Astra International (2017, March), </t>
    </r>
    <r>
      <rPr>
        <i/>
        <sz val="11"/>
        <color theme="1"/>
        <rFont val="Calibri"/>
        <family val="2"/>
        <scheme val="minor"/>
      </rPr>
      <t xml:space="preserve">Annual Report 2016: Paving the Way for the Next Level of Growth, </t>
    </r>
    <r>
      <rPr>
        <sz val="11"/>
        <color theme="1"/>
        <rFont val="Calibri"/>
        <family val="2"/>
        <scheme val="minor"/>
      </rPr>
      <t>p. 68-69, FS-89.</t>
    </r>
  </si>
  <si>
    <t>Segment capital expenditures. Jardine Matheson reports segments using the names and figures for its subsidiaries. Therefore, the palm oil adjuster is based on the palm oil proportions of Astra International within Jardine Matheson's total.</t>
  </si>
  <si>
    <t>Revenues of Astra International further adjusted for Astra Agro Lestari of total Jardine Matheson revenues.</t>
  </si>
  <si>
    <r>
      <t xml:space="preserve">Jardine Matheson (2019, March), </t>
    </r>
    <r>
      <rPr>
        <i/>
        <sz val="11"/>
        <color theme="1"/>
        <rFont val="Calibri"/>
        <family val="2"/>
        <scheme val="minor"/>
      </rPr>
      <t>Annual Report 2018</t>
    </r>
    <r>
      <rPr>
        <sz val="11"/>
        <color theme="1"/>
        <rFont val="Calibri"/>
        <family val="2"/>
        <scheme val="minor"/>
      </rPr>
      <t>, p. 3, 18.</t>
    </r>
  </si>
  <si>
    <t>JARDINE MATHESON HOLDINGS LTD</t>
  </si>
  <si>
    <t>Jardine Strategic Holdings Ltd</t>
  </si>
  <si>
    <t>Astra International's segment adjuster applied to Astra's proportion of Jardine Strategic's underlying profit and shareholders' funds.</t>
  </si>
  <si>
    <t>Jardine Matheson (2018, March), Annual Report 2017, p. 5.</t>
  </si>
  <si>
    <r>
      <t xml:space="preserve">Jardine Strategic (2019, March), </t>
    </r>
    <r>
      <rPr>
        <i/>
        <sz val="11"/>
        <color theme="1"/>
        <rFont val="Calibri"/>
        <family val="2"/>
        <scheme val="minor"/>
      </rPr>
      <t>Annual Report 2018</t>
    </r>
    <r>
      <rPr>
        <sz val="11"/>
        <color theme="1"/>
        <rFont val="Calibri"/>
        <family val="2"/>
        <scheme val="minor"/>
      </rPr>
      <t>, p. 5.</t>
    </r>
  </si>
  <si>
    <t>JARDINE STRATEGIC HOLDINGS LTD</t>
  </si>
  <si>
    <t>PT Astra International Tbk</t>
  </si>
  <si>
    <t>Java</t>
  </si>
  <si>
    <t>Java Bhd</t>
  </si>
  <si>
    <t>Segment assets. Java has three reportable operating segments: Timber products; Plantation, and; Investment. The palm oil adjuster is based on the Plantation segment as it is exclusively engaged in palm oil. The timber adjuster is based on the Timber segment. 2016 QR report did not include segmentation of capital expenditures.</t>
  </si>
  <si>
    <r>
      <t xml:space="preserve">Java (2017, May), </t>
    </r>
    <r>
      <rPr>
        <i/>
        <sz val="11"/>
        <color theme="1"/>
        <rFont val="Calibri"/>
        <family val="2"/>
        <scheme val="minor"/>
      </rPr>
      <t>2016 Annual Report</t>
    </r>
    <r>
      <rPr>
        <sz val="11"/>
        <color theme="1"/>
        <rFont val="Calibri"/>
        <family val="2"/>
        <scheme val="minor"/>
      </rPr>
      <t>, p. 95-96.</t>
    </r>
  </si>
  <si>
    <t>Jaya Holdings</t>
  </si>
  <si>
    <t>Affinity Equity Partners(HK)</t>
  </si>
  <si>
    <t>Jaya Holdings Ltd</t>
  </si>
  <si>
    <t>Jaya Holdings has become an investment holding company. From annual reports and website it is not clear what its portfolio is and whether or not this includes companies engaged in the deforestation-risk commodities.</t>
  </si>
  <si>
    <t>Deutsche Bank AG</t>
  </si>
  <si>
    <t>Johor Group</t>
  </si>
  <si>
    <t>Johor Corp</t>
  </si>
  <si>
    <t>EFINITE STRUCTURE SDN BH</t>
  </si>
  <si>
    <t>Efinite Structure is an investment holding company. As there are no further details as to its investments, the group level adjuster is applied. Segment capital expenditure. Johor Corporation has five reportable operating segments: Palm Oil; Healthcare; Property; Intrapreneur Ventures, and; Quick Service Restaurant. The palm oil adjuster is based on the Palm Oil segment.</t>
  </si>
  <si>
    <t>Johor Corporation (2014, May), Annual Report 2013, p. 190, 192, 230.</t>
  </si>
  <si>
    <t>EFINITE STRUCTURE SDN BHD</t>
  </si>
  <si>
    <t>JOHOR CORPORATION</t>
  </si>
  <si>
    <t>Segment capital expenditure. Johor Corporation has five reportable operating segments: Palm Oil; Healthcare; Property; Intrapreneur Ventures, and; Quick Service Restaurant. The palm oil adjuster is based on the Palm Oil segment.</t>
  </si>
  <si>
    <t>Johor Corporation (2014, May), Annual Report 2013, p. 190, 194, 210.</t>
  </si>
  <si>
    <t>JOHOR CORPORATION, MALAYSIA</t>
  </si>
  <si>
    <t>Segment capital expenditure. Johor Corporation has five reportable operating segments: Oil Palm; Healthcare; Property; Intrapreneur Ventures, and; Quick Service Restaurant. The palm oil adjuster is based on the Oil Palm segment.</t>
  </si>
  <si>
    <r>
      <t xml:space="preserve">Johor Corporation (2016, May), </t>
    </r>
    <r>
      <rPr>
        <i/>
        <sz val="11"/>
        <color theme="1"/>
        <rFont val="Calibri"/>
        <family val="2"/>
        <scheme val="minor"/>
      </rPr>
      <t>Annual Report 2015</t>
    </r>
    <r>
      <rPr>
        <sz val="11"/>
        <color theme="1"/>
        <rFont val="Calibri"/>
        <family val="2"/>
        <scheme val="minor"/>
      </rPr>
      <t>, p. 188.</t>
    </r>
  </si>
  <si>
    <t>Johor</t>
  </si>
  <si>
    <t>Segment capital expenditure. Johor Corporation has seven reportable operating segments: Oil Palm; Healthcare; Property; Industry; Quick Service Restaurant; Intrapreneur Ventures, and; Others. The palm oil adjuster is based on the Oil Palm segment.</t>
  </si>
  <si>
    <r>
      <t xml:space="preserve">Johor Corporation (2018, June), </t>
    </r>
    <r>
      <rPr>
        <i/>
        <sz val="11"/>
        <color theme="1"/>
        <rFont val="Calibri"/>
        <family val="2"/>
        <scheme val="minor"/>
      </rPr>
      <t>Annual Report 2017</t>
    </r>
    <r>
      <rPr>
        <sz val="11"/>
        <color theme="1"/>
        <rFont val="Calibri"/>
        <family val="2"/>
        <scheme val="minor"/>
      </rPr>
      <t>, p. 218.</t>
    </r>
  </si>
  <si>
    <r>
      <t xml:space="preserve">Johor Corporation (2019, July), </t>
    </r>
    <r>
      <rPr>
        <i/>
        <sz val="11"/>
        <color theme="1"/>
        <rFont val="Calibri"/>
        <family val="2"/>
        <scheme val="minor"/>
      </rPr>
      <t>Annual Report 2018</t>
    </r>
    <r>
      <rPr>
        <sz val="11"/>
        <color theme="1"/>
        <rFont val="Calibri"/>
        <family val="2"/>
        <scheme val="minor"/>
      </rPr>
      <t>, p. 261.</t>
    </r>
  </si>
  <si>
    <t>Kulim Malaysia</t>
  </si>
  <si>
    <t>Privatized in 2016, figures from 2016 Q1 report. Segment assets. Kulim has five reportable operating segments: Plantation Operations; Intrapreneur Ventures; Oil &amp; Gas ("O&amp;G" ) Support Services; Agrofood, and; Property Investment. The palm oil adjuster is based on the Plantation Operations segment, as this is engaged soley in palm oil. The Agrofoods segment refers to commercial cattle farming and trading and distribution of tropical fruits.</t>
  </si>
  <si>
    <r>
      <t xml:space="preserve">Kulim Malaysis (2016, May), </t>
    </r>
    <r>
      <rPr>
        <i/>
        <sz val="11"/>
        <color theme="1"/>
        <rFont val="Calibri"/>
        <family val="2"/>
        <scheme val="minor"/>
      </rPr>
      <t>Condensed Consolidated Interim Financial Report for the First Quarter to 31 March 2016</t>
    </r>
    <r>
      <rPr>
        <sz val="11"/>
        <color theme="1"/>
        <rFont val="Calibri"/>
        <family val="2"/>
        <scheme val="minor"/>
      </rPr>
      <t>, p. 10.</t>
    </r>
  </si>
  <si>
    <t>Segment additions to non-current assets. Kulim has five reportable operating segments: Plantation Operations; Intrapreneur Ventures; Oil &amp; Gas ("O&amp;G" ) Support Services; Agrofood, and; Property Investment. The palm oil adjuster is based on the Plantation Operations segment, as this is engaged soley in palm oil. The Agrofoods segment refers to commercial cattle farming and trading and distribution of tropical fruits.</t>
  </si>
  <si>
    <r>
      <t xml:space="preserve">Kulim Malaysia (2019, April), </t>
    </r>
    <r>
      <rPr>
        <i/>
        <sz val="11"/>
        <color theme="1"/>
        <rFont val="Calibri"/>
        <family val="2"/>
        <scheme val="minor"/>
      </rPr>
      <t>Annual Report 2018: Strengthening Core Competencies</t>
    </r>
    <r>
      <rPr>
        <sz val="11"/>
        <color theme="1"/>
        <rFont val="Calibri"/>
        <family val="2"/>
        <scheme val="minor"/>
      </rPr>
      <t>, p. 320.</t>
    </r>
  </si>
  <si>
    <t>Kulim Malaysia Bhd</t>
  </si>
  <si>
    <r>
      <t xml:space="preserve">Kulim Malaysia (2016, April), </t>
    </r>
    <r>
      <rPr>
        <i/>
        <sz val="11"/>
        <color theme="1"/>
        <rFont val="Calibri"/>
        <family val="2"/>
        <scheme val="minor"/>
      </rPr>
      <t>Annual Report 2015: Resourceful, Reciprocal</t>
    </r>
    <r>
      <rPr>
        <sz val="11"/>
        <color theme="1"/>
        <rFont val="Calibri"/>
        <family val="2"/>
        <scheme val="minor"/>
      </rPr>
      <t>, p. 326.</t>
    </r>
  </si>
  <si>
    <t>QSR Brands Bhd</t>
  </si>
  <si>
    <t>QSR Brands is an investment holding company. As there are no further details as to its investments, the group level adjuster is applied. Segment capital expenditure. Johor Corporation has five reportable operating segments: Palm Oil; Healthcare; Property; Intrapreneur Ventures, and; Quick Service Restaurant. The palm oil adjuster is based on the Palm Oil segment.</t>
  </si>
  <si>
    <t>Johor Corporation (2011, May), Annual Report 2010, p. 242.</t>
  </si>
  <si>
    <t>Wisesa Inspirasi Nusantara PT</t>
  </si>
  <si>
    <t>Palm oil investment holding company.</t>
  </si>
  <si>
    <r>
      <t xml:space="preserve">Kulim Malaysia (2016, April), </t>
    </r>
    <r>
      <rPr>
        <i/>
        <sz val="11"/>
        <color theme="1"/>
        <rFont val="Calibri"/>
        <family val="2"/>
        <scheme val="minor"/>
      </rPr>
      <t>Annual Report 2015: Resourceful, Reciprocal</t>
    </r>
    <r>
      <rPr>
        <sz val="11"/>
        <color theme="1"/>
        <rFont val="Calibri"/>
        <family val="2"/>
        <scheme val="minor"/>
      </rPr>
      <t>, p. 8.</t>
    </r>
  </si>
  <si>
    <t>Kencana Agri Group</t>
  </si>
  <si>
    <t>Kencana Agri Ltd</t>
  </si>
  <si>
    <t>Segment assets. Kencana Agri has two reportable operating segments: Plantation and Logistics &amp; Bulking. The palm oil adjuster is based on the Plantation segment as this is engaged purely in the palm oil supply chain.</t>
  </si>
  <si>
    <r>
      <t xml:space="preserve">Kencana Agri (2017, March), </t>
    </r>
    <r>
      <rPr>
        <i/>
        <sz val="11"/>
        <color theme="1"/>
        <rFont val="Calibri"/>
        <family val="2"/>
        <scheme val="minor"/>
      </rPr>
      <t xml:space="preserve">Annual Report 2016, </t>
    </r>
    <r>
      <rPr>
        <sz val="11"/>
        <color theme="1"/>
        <rFont val="Calibri"/>
        <family val="2"/>
        <scheme val="minor"/>
      </rPr>
      <t>p. 102, 104.</t>
    </r>
  </si>
  <si>
    <t>Kencana Agri</t>
  </si>
  <si>
    <r>
      <t xml:space="preserve">Kencana Agri (2019, March), </t>
    </r>
    <r>
      <rPr>
        <i/>
        <sz val="11"/>
        <color theme="1"/>
        <rFont val="Calibri"/>
        <family val="2"/>
        <scheme val="minor"/>
      </rPr>
      <t xml:space="preserve">Annual Report 2018, </t>
    </r>
    <r>
      <rPr>
        <sz val="11"/>
        <color theme="1"/>
        <rFont val="Calibri"/>
        <family val="2"/>
        <scheme val="minor"/>
      </rPr>
      <t>p. 111.</t>
    </r>
  </si>
  <si>
    <t>Kertas Basuki Rachmat Indonesia</t>
  </si>
  <si>
    <t>Kertas Basuki Rachmat Indonesi</t>
  </si>
  <si>
    <t>KERTAS BASUKI RACHMAT IND</t>
  </si>
  <si>
    <t>"The Company and its subsidiaries operates in one operating segment which is paper business."</t>
  </si>
  <si>
    <r>
      <t xml:space="preserve">Kertas Basuk Rachmat Indonesia (2015, October), </t>
    </r>
    <r>
      <rPr>
        <i/>
        <sz val="11"/>
        <color theme="1"/>
        <rFont val="Calibri"/>
        <family val="2"/>
        <scheme val="minor"/>
      </rPr>
      <t>Consolidated Financial Statements 30 September 2015</t>
    </r>
    <r>
      <rPr>
        <sz val="11"/>
        <color theme="1"/>
        <rFont val="Calibri"/>
        <family val="2"/>
        <scheme val="minor"/>
      </rPr>
      <t>, p. FS-34.</t>
    </r>
  </si>
  <si>
    <t>Kertas Basuki Rachmat Ind Tbk</t>
  </si>
  <si>
    <t>Kertas Basuki Rachmat Indonesia Tbk PT</t>
  </si>
  <si>
    <t>Kim Loong Group</t>
  </si>
  <si>
    <t>Kim Loong Resources Bhd</t>
  </si>
  <si>
    <t>Kim Loong Resources has two reportable operating segments: Plantation and Milling. As both are focused solely on palm oil, the palm oil adjuster is set at 100%.</t>
  </si>
  <si>
    <r>
      <t xml:space="preserve">Kim Loong Resources (2016, May), </t>
    </r>
    <r>
      <rPr>
        <i/>
        <sz val="11"/>
        <color theme="1"/>
        <rFont val="Calibri"/>
        <family val="2"/>
        <scheme val="minor"/>
      </rPr>
      <t>Annual Report 2016: Towards Greater Sustainability</t>
    </r>
    <r>
      <rPr>
        <sz val="11"/>
        <color theme="1"/>
        <rFont val="Calibri"/>
        <family val="2"/>
        <scheme val="minor"/>
      </rPr>
      <t>, p. 129.</t>
    </r>
  </si>
  <si>
    <r>
      <t xml:space="preserve">Kim Loong Resources (2018, May), </t>
    </r>
    <r>
      <rPr>
        <i/>
        <sz val="11"/>
        <color theme="1"/>
        <rFont val="Calibri"/>
        <family val="2"/>
        <scheme val="minor"/>
      </rPr>
      <t>Annual Report 2018: Innovation Enhancing Performance</t>
    </r>
    <r>
      <rPr>
        <sz val="11"/>
        <color theme="1"/>
        <rFont val="Calibri"/>
        <family val="2"/>
        <scheme val="minor"/>
      </rPr>
      <t>, p. 140.</t>
    </r>
  </si>
  <si>
    <r>
      <t xml:space="preserve">Kim Loong Resources (2019, May), </t>
    </r>
    <r>
      <rPr>
        <i/>
        <sz val="11"/>
        <color theme="1"/>
        <rFont val="Calibri"/>
        <family val="2"/>
        <scheme val="minor"/>
      </rPr>
      <t>Annual Report 2019: Optimizing Productivity</t>
    </r>
    <r>
      <rPr>
        <sz val="11"/>
        <color theme="1"/>
        <rFont val="Calibri"/>
        <family val="2"/>
        <scheme val="minor"/>
      </rPr>
      <t>, p. 160.</t>
    </r>
  </si>
  <si>
    <t>Korindo</t>
  </si>
  <si>
    <t>KORINTIGA HUTANI PT</t>
  </si>
  <si>
    <t>Parent Korindo is engaged in all of the focus forest-commodities. However, subsidiary Korintinga Hutani seems to have activities only in timber (wood chip) and pulp &amp; paper.</t>
  </si>
  <si>
    <r>
      <t xml:space="preserve">TradeFinance (2012, October), </t>
    </r>
    <r>
      <rPr>
        <i/>
        <sz val="11"/>
        <color theme="1"/>
        <rFont val="Calibri"/>
        <family val="2"/>
        <scheme val="minor"/>
      </rPr>
      <t>Korintiga Hutani / $40 million / 1012</t>
    </r>
    <r>
      <rPr>
        <sz val="11"/>
        <color theme="1"/>
        <rFont val="Calibri"/>
        <family val="2"/>
        <scheme val="minor"/>
      </rPr>
      <t xml:space="preserve">. </t>
    </r>
  </si>
  <si>
    <t>Kretam Group</t>
  </si>
  <si>
    <t>Kretam Holdings</t>
  </si>
  <si>
    <t>Kretam has two reportable operating segments: Plantation &amp; Mill and Refinery. As both are focused solely on palm oil, the palm oil adjuster is set at 100%.</t>
  </si>
  <si>
    <r>
      <t xml:space="preserve">Kretam Holdings (2016, April), </t>
    </r>
    <r>
      <rPr>
        <i/>
        <sz val="11"/>
        <color theme="1"/>
        <rFont val="Calibri"/>
        <family val="2"/>
        <scheme val="minor"/>
      </rPr>
      <t>Annual Report 2015</t>
    </r>
    <r>
      <rPr>
        <sz val="11"/>
        <color theme="1"/>
        <rFont val="Calibri"/>
        <family val="2"/>
        <scheme val="minor"/>
      </rPr>
      <t>, p. 134.</t>
    </r>
  </si>
  <si>
    <t>Kretam Holdings Bhd</t>
  </si>
  <si>
    <r>
      <t xml:space="preserve">Kretam Holdings (2019, April), </t>
    </r>
    <r>
      <rPr>
        <i/>
        <sz val="11"/>
        <color theme="1"/>
        <rFont val="Calibri"/>
        <family val="2"/>
        <scheme val="minor"/>
      </rPr>
      <t>Annual Report 2018</t>
    </r>
    <r>
      <rPr>
        <sz val="11"/>
        <color theme="1"/>
        <rFont val="Calibri"/>
        <family val="2"/>
        <scheme val="minor"/>
      </rPr>
      <t>, p. 167.</t>
    </r>
  </si>
  <si>
    <t>Syarikat Kretam Mill</t>
  </si>
  <si>
    <t>Kwantas Group</t>
  </si>
  <si>
    <t>Kwantas Corp BHD</t>
  </si>
  <si>
    <t>Haranky</t>
  </si>
  <si>
    <t>Operation of oil palm plantations.</t>
  </si>
  <si>
    <r>
      <t xml:space="preserve">Kwantas (2018, October), </t>
    </r>
    <r>
      <rPr>
        <i/>
        <sz val="11"/>
        <color theme="1"/>
        <rFont val="Calibri"/>
        <family val="2"/>
        <scheme val="minor"/>
      </rPr>
      <t xml:space="preserve">Annual Report 2018, </t>
    </r>
    <r>
      <rPr>
        <sz val="11"/>
        <color theme="1"/>
        <rFont val="Calibri"/>
        <family val="2"/>
        <scheme val="minor"/>
      </rPr>
      <t>p. 13.</t>
    </r>
  </si>
  <si>
    <t>KWANTAS CORP BHD</t>
  </si>
  <si>
    <t>Segment additions to non-current assets / capital expenditures. Kwantas has three reportable operating segments: Oil Palm Plantations &amp; Palm Products; Oleochemical Products, and; Other Operating Segment. The palm oil adjuster is based on the Oil Palm Plantations &amp; Palm Products and Oleochemical Products segments.</t>
  </si>
  <si>
    <r>
      <t xml:space="preserve">Kwantas (2010, December), </t>
    </r>
    <r>
      <rPr>
        <i/>
        <sz val="11"/>
        <color theme="1"/>
        <rFont val="Calibri"/>
        <family val="2"/>
        <scheme val="minor"/>
      </rPr>
      <t xml:space="preserve">Annual Report 2010: Realising Our Potential, </t>
    </r>
    <r>
      <rPr>
        <sz val="11"/>
        <color theme="1"/>
        <rFont val="Calibri"/>
        <family val="2"/>
        <scheme val="minor"/>
      </rPr>
      <t>p. 98-99.</t>
    </r>
  </si>
  <si>
    <t>Kwantas Corporation Bhd</t>
  </si>
  <si>
    <r>
      <t xml:space="preserve">Kwantas (2016, October), </t>
    </r>
    <r>
      <rPr>
        <i/>
        <sz val="11"/>
        <color theme="1"/>
        <rFont val="Calibri"/>
        <family val="2"/>
        <scheme val="minor"/>
      </rPr>
      <t xml:space="preserve">Annual Report 2016: Planting the Future; Reaching Sustainability, </t>
    </r>
    <r>
      <rPr>
        <sz val="11"/>
        <color theme="1"/>
        <rFont val="Calibri"/>
        <family val="2"/>
        <scheme val="minor"/>
      </rPr>
      <t>p. 153.</t>
    </r>
  </si>
  <si>
    <r>
      <t xml:space="preserve">Kwantas (2017, October), </t>
    </r>
    <r>
      <rPr>
        <i/>
        <sz val="11"/>
        <color theme="1"/>
        <rFont val="Calibri"/>
        <family val="2"/>
        <scheme val="minor"/>
      </rPr>
      <t xml:space="preserve">Annual Report 2017, </t>
    </r>
    <r>
      <rPr>
        <sz val="11"/>
        <color theme="1"/>
        <rFont val="Calibri"/>
        <family val="2"/>
        <scheme val="minor"/>
      </rPr>
      <t>p. 146.</t>
    </r>
  </si>
  <si>
    <r>
      <t xml:space="preserve">Kwantas (2018, October), </t>
    </r>
    <r>
      <rPr>
        <i/>
        <sz val="11"/>
        <color theme="1"/>
        <rFont val="Calibri"/>
        <family val="2"/>
        <scheme val="minor"/>
      </rPr>
      <t xml:space="preserve">Annual Report 2018, </t>
    </r>
    <r>
      <rPr>
        <sz val="11"/>
        <color theme="1"/>
        <rFont val="Calibri"/>
        <family val="2"/>
        <scheme val="minor"/>
      </rPr>
      <t>p. 144.</t>
    </r>
  </si>
  <si>
    <t>Kwantas Land Development</t>
  </si>
  <si>
    <r>
      <t xml:space="preserve">Kwantas (2017, October), </t>
    </r>
    <r>
      <rPr>
        <i/>
        <sz val="11"/>
        <color theme="1"/>
        <rFont val="Calibri"/>
        <family val="2"/>
        <scheme val="minor"/>
      </rPr>
      <t xml:space="preserve">Annual Report 2017, </t>
    </r>
    <r>
      <rPr>
        <sz val="11"/>
        <color theme="1"/>
        <rFont val="Calibri"/>
        <family val="2"/>
        <scheme val="minor"/>
      </rPr>
      <t>p. 114.</t>
    </r>
  </si>
  <si>
    <t>Kwantas Plantations</t>
  </si>
  <si>
    <t>Lam Soon</t>
  </si>
  <si>
    <t>Lam Soon Hong Kong Ltd</t>
  </si>
  <si>
    <t>Difficult to determine proportion of palm oil in Food segment. Have set adjuster at indicative 5%.</t>
  </si>
  <si>
    <r>
      <t xml:space="preserve">Lam Soon Hong Kong (2017, October), </t>
    </r>
    <r>
      <rPr>
        <i/>
        <sz val="11"/>
        <color theme="1"/>
        <rFont val="Calibri"/>
        <family val="2"/>
        <scheme val="minor"/>
      </rPr>
      <t>Annual Report 2017</t>
    </r>
    <r>
      <rPr>
        <sz val="11"/>
        <color theme="1"/>
        <rFont val="Calibri"/>
        <family val="2"/>
        <scheme val="minor"/>
      </rPr>
      <t>.</t>
    </r>
  </si>
  <si>
    <t>Lam Soon Thailand PCL</t>
  </si>
  <si>
    <t>Segment assets. Lam Soon Thailand has two reportable operating segments: Palm Oil and Processed Fruits &amp; Vegetables. The palm oil adjuster is based on the Palm Oil segment.</t>
  </si>
  <si>
    <r>
      <t xml:space="preserve">Lam Soon Thailand (2017, March), </t>
    </r>
    <r>
      <rPr>
        <i/>
        <sz val="11"/>
        <color theme="1"/>
        <rFont val="Calibri"/>
        <family val="2"/>
        <scheme val="minor"/>
      </rPr>
      <t>Annual Report 2016: Responsibility / Quality / Healthy / Wellness</t>
    </r>
    <r>
      <rPr>
        <sz val="11"/>
        <color theme="1"/>
        <rFont val="Calibri"/>
        <family val="2"/>
        <scheme val="minor"/>
      </rPr>
      <t>, p. FS-48-FS-49.</t>
    </r>
  </si>
  <si>
    <r>
      <t xml:space="preserve">Lam Soon Thailand (2018, March), </t>
    </r>
    <r>
      <rPr>
        <i/>
        <sz val="11"/>
        <color theme="1"/>
        <rFont val="Calibri"/>
        <family val="2"/>
        <scheme val="minor"/>
      </rPr>
      <t>Annual Report 2017: Responsibility / Quality / Healthy / Wellness</t>
    </r>
    <r>
      <rPr>
        <sz val="11"/>
        <color theme="1"/>
        <rFont val="Calibri"/>
        <family val="2"/>
        <scheme val="minor"/>
      </rPr>
      <t>, p. FS-48.</t>
    </r>
  </si>
  <si>
    <r>
      <t xml:space="preserve">Lam Soon Thailand (2019, March), </t>
    </r>
    <r>
      <rPr>
        <i/>
        <sz val="11"/>
        <color theme="1"/>
        <rFont val="Calibri"/>
        <family val="2"/>
        <scheme val="minor"/>
      </rPr>
      <t>Annual Report 2018: Responsibility / Quality / Healthy / Wellness</t>
    </r>
    <r>
      <rPr>
        <sz val="11"/>
        <color theme="1"/>
        <rFont val="Calibri"/>
        <family val="2"/>
        <scheme val="minor"/>
      </rPr>
      <t>, p. FS-49.</t>
    </r>
  </si>
  <si>
    <t>LG International</t>
  </si>
  <si>
    <t>LG INTERNATIONAL</t>
  </si>
  <si>
    <t>LG International has two palm oil companies in Indonesia: Green Global Lestari, Parna Agromas. It also has one woodchips: Indonesia Renewable Resources. The woodchips company produces for biomass plants. The palm oil adjuster is based on the proportion of assets of the two palm oil companies in the total assets of LG International.</t>
  </si>
  <si>
    <r>
      <t xml:space="preserve">LG International (2019, March), </t>
    </r>
    <r>
      <rPr>
        <i/>
        <sz val="11"/>
        <color theme="1"/>
        <rFont val="Calibri"/>
        <family val="2"/>
        <scheme val="minor"/>
      </rPr>
      <t>Annual Report 2018</t>
    </r>
    <r>
      <rPr>
        <sz val="11"/>
        <color theme="1"/>
        <rFont val="Calibri"/>
        <family val="2"/>
        <scheme val="minor"/>
      </rPr>
      <t>, p. 13-14. [Korean]</t>
    </r>
  </si>
  <si>
    <t>LG International Corp</t>
  </si>
  <si>
    <t>Struggled with Korean language version of 2011 report. Have used 2016 figures. LG International has two palm oil companies in Indonesia: Green Global Lestari, Parna Agromas. It also has one woodchips: Indonesia Renewable Resources. The woodchips company produces for biomass plants. The palm oil adjuster is based on the proportion of assets of the two palm oil companies in the total assets of LG International.</t>
  </si>
  <si>
    <r>
      <t xml:space="preserve">LG International (2018, March), </t>
    </r>
    <r>
      <rPr>
        <i/>
        <sz val="11"/>
        <color theme="1"/>
        <rFont val="Calibri"/>
        <family val="2"/>
        <scheme val="minor"/>
      </rPr>
      <t>Business Report 2017</t>
    </r>
    <r>
      <rPr>
        <sz val="11"/>
        <color theme="1"/>
        <rFont val="Calibri"/>
        <family val="2"/>
        <scheme val="minor"/>
      </rPr>
      <t>, p. 54, 67. [Korean]</t>
    </r>
  </si>
  <si>
    <t>Couldn't locate sufficiently detailed financial statements in Thomson EIKON. Have used 2016 figures. LG International has two palm oil companies in Indonesia: Green Global Lestari, Parna Agromas. It also has one woodchips: Indonesia Renewable Resources. The woodchips company produces for biomass plants. The palm oil adjuster is based on the proportion of assets of the two palm oil companies in the total assets of LG International.</t>
  </si>
  <si>
    <r>
      <t xml:space="preserve">LG International (2018, March), </t>
    </r>
    <r>
      <rPr>
        <i/>
        <sz val="11"/>
        <color theme="1"/>
        <rFont val="Calibri"/>
        <family val="2"/>
        <scheme val="minor"/>
      </rPr>
      <t>Business Report 2017</t>
    </r>
    <r>
      <rPr>
        <sz val="11"/>
        <color theme="1"/>
        <rFont val="Calibri"/>
        <family val="2"/>
        <scheme val="minor"/>
      </rPr>
      <t>, p. 54, 64. [Korean]</t>
    </r>
  </si>
  <si>
    <t>LG INTERNATIONAL CORP</t>
  </si>
  <si>
    <t>Louis Dreyfus</t>
  </si>
  <si>
    <t>Akira Holding Foundation</t>
  </si>
  <si>
    <t>BIOSEV SA</t>
  </si>
  <si>
    <t>LOUIS DREYFUS COMMODITIE</t>
  </si>
  <si>
    <t>Louis Dreyfus Commodities</t>
  </si>
  <si>
    <t>Louis Dreyfus Commodities Asia</t>
  </si>
  <si>
    <t>Louis Dreyfus Commodities BV</t>
  </si>
  <si>
    <t>LOUIS DREYFUS COMMODITIES SU</t>
  </si>
  <si>
    <t>LOUIS DREYFUS CORP</t>
  </si>
  <si>
    <t>Louis Dreyfus Highbridge</t>
  </si>
  <si>
    <t>LOUIS DREYFUS INVESTMENT GROUP (COMMODITIES) BV, ROTTER</t>
  </si>
  <si>
    <t>Louis Dreyfus Suisse SA</t>
  </si>
  <si>
    <t>LOUIS DREYFUS WITTENBERG</t>
  </si>
  <si>
    <t>Marubeni</t>
  </si>
  <si>
    <t>Marubeni Corp</t>
  </si>
  <si>
    <t>Segment assets. Marubeni has 13 reportable operating segments: Food; Lifestyle; Forest Products; Chemicals; Energy; Metals &amp; Mineral Reources; Transportation Machinery; Power Projects &amp; Infrastructure; Plant, Ship &amp; Industrial Machinery; Real Estate Development; Finance, Logistics &amp; ICT; Iron &amp; Steel Strategies and Coordingation, and; Oversesas corporate subsidiaries and branches. The Forest Products segment includes pulp &amp; paper and wood chips. There is no further breakdown per sub-segment. Therefore, the adjusters are half of the total assets attributable to the Forest Products segment for each pulp &amp; paper and woodchips (timber). Rubber falls within the Lifestyle segment. However, there is no further breakdown per sub-segment. The Lifestyle segment includes five rough commodity groups, therefore the rubber adjuster is 1/5 of the total assets attributable to the Lifestyle segment, and the latter's proportion of total assets.</t>
  </si>
  <si>
    <r>
      <t xml:space="preserve">Marubeni (2010, November), </t>
    </r>
    <r>
      <rPr>
        <i/>
        <sz val="11"/>
        <color theme="1"/>
        <rFont val="Calibri"/>
        <family val="2"/>
        <scheme val="minor"/>
      </rPr>
      <t>Annual Report 2010: Becoming a Stronger Marubeni</t>
    </r>
    <r>
      <rPr>
        <sz val="11"/>
        <color theme="1"/>
        <rFont val="Calibri"/>
        <family val="2"/>
        <scheme val="minor"/>
      </rPr>
      <t>, p. 140-141.</t>
    </r>
  </si>
  <si>
    <t>Segment capital expenditures. Marubeni has 11 reportable operating segments: Food; Lifestyle; Forest Products; Chemicals; Energy; Metals &amp; Mineral Reources; Transportation Machinery; Power Projects &amp; Infrastructure; Plant &amp; Industrial Machinery; Finance, Logistics &amp; ICT, and; Oversesas corporate subsidiaries and branches. The Forest Products segment includes pulp &amp; paper and wood chips. There is no further breakdown per sub-segment. Therefore, the adjusters are half of the total assets attributable to the Forest Products segment for each pulp &amp; paper and woodchips (timber). Rubber falls within the Lifestyle segment. However, there is no further breakdown per sub-segment. The Lifestyle segment includes five rough commodity groups, therefore the rubber adjuster is 1/5 of the total assets attributable to the Lifestyle segment, and the latter's proportion of total assets.</t>
  </si>
  <si>
    <r>
      <t xml:space="preserve">Marubeni (2012, July), </t>
    </r>
    <r>
      <rPr>
        <i/>
        <sz val="11"/>
        <color theme="1"/>
        <rFont val="Calibri"/>
        <family val="2"/>
        <scheme val="minor"/>
      </rPr>
      <t>Annual Report 2012: Becoming a Stronger Marubeni</t>
    </r>
    <r>
      <rPr>
        <sz val="11"/>
        <color theme="1"/>
        <rFont val="Calibri"/>
        <family val="2"/>
        <scheme val="minor"/>
      </rPr>
      <t>, p. 78-81, 161-162, 164.</t>
    </r>
  </si>
  <si>
    <r>
      <t xml:space="preserve">Marubeni (2012, July), </t>
    </r>
    <r>
      <rPr>
        <i/>
        <sz val="11"/>
        <color theme="1"/>
        <rFont val="Calibri"/>
        <family val="2"/>
        <scheme val="minor"/>
      </rPr>
      <t>Annual Report 2012: Becoming a Stronger Marubeni</t>
    </r>
    <r>
      <rPr>
        <sz val="11"/>
        <color theme="1"/>
        <rFont val="Calibri"/>
        <family val="2"/>
        <scheme val="minor"/>
      </rPr>
      <t>, p. 78-81, 161-163.</t>
    </r>
  </si>
  <si>
    <t>Segment assets. Marubeni has ten reportable operating segments: Food; Chemicals; Energy; Metals &amp; Minerals; Transportation Machinery; Power Projects &amp; Infrastructure; Plant &amp; Industrial Machinery; Lifestyle &amp; Forest Products; ICT, Finance &amp; Insurance and Real Estate Business, and; Overseas corporate subsidiaries and branches. The Lifestyle &amp; Forest Products segment is further broken into two sub-segments: lifestyle goods and forest products. There is no sub-segment breakdown. Forest products includes: pulp &amp; paper; wood chips; and rubber. As there is no further breakdown, the pulp &amp; paper, rubber and wood chips (timber) are each considered to be a quarter of total assets attributable to Lifestyle &amp; Forest Products (lifestye goods and three forest commodities).</t>
  </si>
  <si>
    <r>
      <t xml:space="preserve">Marubeni (2014, August), </t>
    </r>
    <r>
      <rPr>
        <i/>
        <sz val="11"/>
        <color theme="1"/>
        <rFont val="Calibri"/>
        <family val="2"/>
        <scheme val="minor"/>
      </rPr>
      <t xml:space="preserve">Annual Report 2014, </t>
    </r>
    <r>
      <rPr>
        <sz val="11"/>
        <color theme="1"/>
        <rFont val="Calibri"/>
        <family val="2"/>
        <scheme val="minor"/>
      </rPr>
      <t>p. 64, 173-174, 177.</t>
    </r>
  </si>
  <si>
    <r>
      <t xml:space="preserve">Marubeni (2014, August), </t>
    </r>
    <r>
      <rPr>
        <i/>
        <sz val="11"/>
        <color theme="1"/>
        <rFont val="Calibri"/>
        <family val="2"/>
        <scheme val="minor"/>
      </rPr>
      <t xml:space="preserve">Annual Report 2014, </t>
    </r>
    <r>
      <rPr>
        <sz val="11"/>
        <color theme="1"/>
        <rFont val="Calibri"/>
        <family val="2"/>
        <scheme val="minor"/>
      </rPr>
      <t>p. 64, 173-175.</t>
    </r>
  </si>
  <si>
    <t>Segment assets. Marubeni has five reportable operating segments: Food &amp; Consumer Products; Chemical &amp; Forest Products; Energy &amp; Metals, and; Transportation &amp; Industrial Machinery. The Chemical &amp; Forest Products segment is further broken into three sub-segments: Helena Business; Forest Products, and; Chemicals. The only sub-segment breakdown available is of net profit of Helena Business and combined Forest Products and Chemicals. Forest Products and Chemicals includes: pulp &amp; paper; wood chips; and a range of chemical products. As there is no further breakdown, the pulp &amp; paper and wood chips (timber) are each considered to be a third of total revenues  attributable to Forest Products and Chemicals proportion. This is further a proportion of total revenues attributable to the Chemical &amp; Forest Products segment, and the proportion of assets attributable to the Chemical &amp; Forest Products segment of total group assets.</t>
  </si>
  <si>
    <r>
      <t xml:space="preserve">Marubeni (2016, August), </t>
    </r>
    <r>
      <rPr>
        <i/>
        <sz val="11"/>
        <color theme="1"/>
        <rFont val="Calibri"/>
        <family val="2"/>
        <scheme val="minor"/>
      </rPr>
      <t>Annual Report 2016: Global Challenge 2018</t>
    </r>
    <r>
      <rPr>
        <sz val="11"/>
        <color theme="1"/>
        <rFont val="Calibri"/>
        <family val="2"/>
        <scheme val="minor"/>
      </rPr>
      <t>, p. 17, 30, 164.</t>
    </r>
  </si>
  <si>
    <r>
      <t xml:space="preserve">Marubeni (2016, August), </t>
    </r>
    <r>
      <rPr>
        <i/>
        <sz val="11"/>
        <color theme="1"/>
        <rFont val="Calibri"/>
        <family val="2"/>
        <scheme val="minor"/>
      </rPr>
      <t>Annual Report 2016: Global Challenge 2018</t>
    </r>
    <r>
      <rPr>
        <sz val="11"/>
        <color theme="1"/>
        <rFont val="Calibri"/>
        <family val="2"/>
        <scheme val="minor"/>
      </rPr>
      <t>, p. 17, 30.</t>
    </r>
  </si>
  <si>
    <r>
      <t xml:space="preserve">Marubeni (2017, August), </t>
    </r>
    <r>
      <rPr>
        <i/>
        <sz val="11"/>
        <color theme="1"/>
        <rFont val="Calibri"/>
        <family val="2"/>
        <scheme val="minor"/>
      </rPr>
      <t>Integrated Report 2017</t>
    </r>
    <r>
      <rPr>
        <sz val="11"/>
        <color theme="1"/>
        <rFont val="Calibri"/>
        <family val="2"/>
        <scheme val="minor"/>
      </rPr>
      <t>, p. 70, 170.</t>
    </r>
  </si>
  <si>
    <t>MARUBENI CORP</t>
  </si>
  <si>
    <t>Segment profit. Marubeni has five reportable operating segments: Food &amp; Consumer Products; Chemical &amp; Forest Products; Energy &amp; Metals, and; Transportation &amp; Industrial Machinery. The Chemical &amp; Forest Products segment is further broken into three sub-segments: Helena Business; Forest Products, and; Chemicals. The only sub-segment breakdown available is of net profit of Helena Business and combined Forest Products and Chemicals. Forest Products and Chemicals includes: pulp &amp; paper; wood chips; and a range of chemical products. As there is no further breakdown, the pulp &amp; paper and wood chips (timber) are each considered to be a third of total revenues  attributable to Forest Products and Chemicals proportion. This is further a proportion of total revenues attributable to the Chemical &amp; Forest Products segment, and the proportion of assets attributable to the Chemical &amp; Forest Products segment of total group assets.</t>
  </si>
  <si>
    <r>
      <t xml:space="preserve">Marubeni (2018, August), </t>
    </r>
    <r>
      <rPr>
        <i/>
        <sz val="11"/>
        <color theme="1"/>
        <rFont val="Calibri"/>
        <family val="2"/>
        <scheme val="minor"/>
      </rPr>
      <t>Integrated Report 2018</t>
    </r>
    <r>
      <rPr>
        <sz val="11"/>
        <color theme="1"/>
        <rFont val="Calibri"/>
        <family val="2"/>
        <scheme val="minor"/>
      </rPr>
      <t>, p. 99.</t>
    </r>
  </si>
  <si>
    <t>MARUBENI CORP, TOKYO</t>
  </si>
  <si>
    <t>MARUBENI CORP.</t>
  </si>
  <si>
    <t>Marubeni Corporation</t>
  </si>
  <si>
    <t>MARUBENI FINANCIAL SERVICE</t>
  </si>
  <si>
    <t>Marubeni Financial Servieces is a financing subsidiary, therefore group level adjusters are applied. Segment capital expenditures. Marubeni has 11 reportable operating segments: Food; Lifestyle; Forest Products; Chemicals; Energy; Metals &amp; Mineral Reources; Transportation Machinery; Power Projects &amp; Infrastructure; Plant &amp; Industrial Machinery; Finance, Logistics &amp; ICT, and; Oversesas corporate subsidiaries and branches. The Forest Products segment includes pulp &amp; paper and wood chips. There is no further breakdown per sub-segment. Therefore, the adjusters are half of the total assets attributable to the Forest Products segment for each pulp &amp; paper and woodchips (timber). Rubber falls within the Lifestyle segment. However, there is no further breakdown per sub-segment. The Lifestyle segment includes five rough commodity groups, therefore the rubber adjuster is 1/5 of the total assets attributable to the Lifestyle segment, and the latter's proportion of total assets.</t>
  </si>
  <si>
    <r>
      <t xml:space="preserve">Marubeni (2012, July), </t>
    </r>
    <r>
      <rPr>
        <i/>
        <sz val="11"/>
        <color theme="1"/>
        <rFont val="Calibri"/>
        <family val="2"/>
        <scheme val="minor"/>
      </rPr>
      <t>Annual Report 2012: Becoming a Stronger Marubeni</t>
    </r>
    <r>
      <rPr>
        <sz val="11"/>
        <color theme="1"/>
        <rFont val="Calibri"/>
        <family val="2"/>
        <scheme val="minor"/>
      </rPr>
      <t>, p. 78-81, 102, 161-163.</t>
    </r>
  </si>
  <si>
    <t>Mitsubishi</t>
  </si>
  <si>
    <t>Mitsubishi Corp</t>
  </si>
  <si>
    <t>Aurora Solar Corp</t>
  </si>
  <si>
    <t>MC Trading Ltd</t>
  </si>
  <si>
    <t>MITSUBISHI CORP</t>
  </si>
  <si>
    <t>MITSUBISHI CORP FIN PLC</t>
  </si>
  <si>
    <t>Mitsubishi Corp Finance PLC</t>
  </si>
  <si>
    <t>MITSUBISHI CORP, TOKYO</t>
  </si>
  <si>
    <t>Thai MC Co Ltd(Mitsubishi Corp)</t>
  </si>
  <si>
    <t>Mitsui &amp; Co</t>
  </si>
  <si>
    <t>Mitsui &amp; Co Ltd</t>
  </si>
  <si>
    <t>MITSUI &amp; CO</t>
  </si>
  <si>
    <t>MITSUI &amp; CO LTD</t>
  </si>
  <si>
    <t>MITSUI &amp; CO LTD, TOKYO</t>
  </si>
  <si>
    <t>Multigrain AG</t>
  </si>
  <si>
    <t>Multigrain SA</t>
  </si>
  <si>
    <t>MP Evans</t>
  </si>
  <si>
    <t>M P Evans Group PLC</t>
  </si>
  <si>
    <t>Segment additions to non-current assets. MP Evans has three reportable operating segments: Plantation Indonesia; Property Malaysia, and; Other. Currently only in palm oil.</t>
  </si>
  <si>
    <r>
      <t>MP Evans (2018, April),</t>
    </r>
    <r>
      <rPr>
        <i/>
        <sz val="11"/>
        <color theme="1"/>
        <rFont val="Calibri"/>
        <family val="2"/>
        <scheme val="minor"/>
      </rPr>
      <t xml:space="preserve"> Annual Report 2017</t>
    </r>
    <r>
      <rPr>
        <sz val="11"/>
        <color theme="1"/>
        <rFont val="Calibri"/>
        <family val="2"/>
        <scheme val="minor"/>
      </rPr>
      <t>, p. 65.</t>
    </r>
  </si>
  <si>
    <r>
      <t>MP Evans (2019, March),</t>
    </r>
    <r>
      <rPr>
        <i/>
        <sz val="11"/>
        <color theme="1"/>
        <rFont val="Calibri"/>
        <family val="2"/>
        <scheme val="minor"/>
      </rPr>
      <t xml:space="preserve"> Annual Report 2018</t>
    </r>
    <r>
      <rPr>
        <sz val="11"/>
        <color theme="1"/>
        <rFont val="Calibri"/>
        <family val="2"/>
        <scheme val="minor"/>
      </rPr>
      <t>, p. 67.</t>
    </r>
  </si>
  <si>
    <t>MP Evans Group PLC</t>
  </si>
  <si>
    <t>MP EVANS &amp; CO LTD</t>
  </si>
  <si>
    <t>Musim Mas Group</t>
  </si>
  <si>
    <t>Musim Mas Holdings</t>
  </si>
  <si>
    <t>Musim Mas is an investment holding company. However, based on the activities of its subsidiaries, it is deemed to be 100% engaged in the palm oil sector.</t>
  </si>
  <si>
    <r>
      <t xml:space="preserve">Musim Mas Holdings (2016, June), </t>
    </r>
    <r>
      <rPr>
        <i/>
        <sz val="11"/>
        <color theme="1"/>
        <rFont val="Calibri"/>
        <family val="2"/>
        <scheme val="minor"/>
      </rPr>
      <t>Financial Statement: Year Ended 31 December 2015</t>
    </r>
    <r>
      <rPr>
        <sz val="11"/>
        <color theme="1"/>
        <rFont val="Calibri"/>
        <family val="2"/>
        <scheme val="minor"/>
      </rPr>
      <t>, p. 49-50.</t>
    </r>
  </si>
  <si>
    <t>West India Continental Oils &amp; Fats</t>
  </si>
  <si>
    <t>Musim Mas subsidiary West India Continental Oils &amp; Fats is said to trade vegetable oils and related products. The only vegetable oil which Musim Mas produces is palm oil, therefore, WICOF is assumed to trade in palm oil and its derivatives.</t>
  </si>
  <si>
    <t>Noble Group</t>
  </si>
  <si>
    <t>Noble Group Ltd</t>
  </si>
  <si>
    <t>NOBLE AMERICAS CORP</t>
  </si>
  <si>
    <t>Palm oil adjuster is based on estimate from Chain Reaction Research Report.</t>
  </si>
  <si>
    <r>
      <t xml:space="preserve">Chain Reaction Research (2016, August), </t>
    </r>
    <r>
      <rPr>
        <i/>
        <sz val="11"/>
        <color theme="1"/>
        <rFont val="Calibri"/>
        <family val="2"/>
        <scheme val="minor"/>
      </rPr>
      <t>Noble Group: Cost of Capital and Deforestation Risks Under Priced?</t>
    </r>
    <r>
      <rPr>
        <sz val="11"/>
        <color theme="1"/>
        <rFont val="Calibri"/>
        <family val="2"/>
        <scheme val="minor"/>
      </rPr>
      <t xml:space="preserve">, p. 2. </t>
    </r>
  </si>
  <si>
    <t>NOBLE GROUP LTD</t>
  </si>
  <si>
    <t>NOBLE HAMMADDE TICARET</t>
  </si>
  <si>
    <t>NOBLE RESOURCES INTERNAT</t>
  </si>
  <si>
    <t>NPC Resources Group</t>
  </si>
  <si>
    <t>NPC Resources Bhd</t>
  </si>
  <si>
    <t>Agrisa Trading</t>
  </si>
  <si>
    <t>Oil palm plantation</t>
  </si>
  <si>
    <r>
      <t xml:space="preserve">NPC Resources (2019, April), </t>
    </r>
    <r>
      <rPr>
        <i/>
        <sz val="11"/>
        <color theme="1"/>
        <rFont val="Calibri"/>
        <family val="2"/>
        <scheme val="minor"/>
      </rPr>
      <t>Annual Report 2018</t>
    </r>
    <r>
      <rPr>
        <sz val="11"/>
        <color theme="1"/>
        <rFont val="Calibri"/>
        <family val="2"/>
        <scheme val="minor"/>
      </rPr>
      <t>, p. 111.</t>
    </r>
  </si>
  <si>
    <t>Berkat Setia</t>
  </si>
  <si>
    <t>Growth Enterprise</t>
  </si>
  <si>
    <r>
      <t xml:space="preserve">NPC Resources (2018, April), </t>
    </r>
    <r>
      <rPr>
        <i/>
        <sz val="11"/>
        <color theme="1"/>
        <rFont val="Calibri"/>
        <family val="2"/>
        <scheme val="minor"/>
      </rPr>
      <t>Annual Report 2017</t>
    </r>
    <r>
      <rPr>
        <sz val="11"/>
        <color theme="1"/>
        <rFont val="Calibri"/>
        <family val="2"/>
        <scheme val="minor"/>
      </rPr>
      <t>, p. 100.</t>
    </r>
  </si>
  <si>
    <t>Segment additions to non-current assets. NPC Resources has four reportable operating segments: Plantation &amp; Milling; Fishery; Hotelier, and; Corporate. The palm oil adjster is based on the Plantation &amp; Milling segment's proportion of total minus the Corporate segment as it is not a productive segment.</t>
  </si>
  <si>
    <r>
      <t xml:space="preserve">NPC Resources (2016, April), </t>
    </r>
    <r>
      <rPr>
        <i/>
        <sz val="11"/>
        <color theme="1"/>
        <rFont val="Calibri"/>
        <family val="2"/>
        <scheme val="minor"/>
      </rPr>
      <t>Annual Report 2015</t>
    </r>
    <r>
      <rPr>
        <sz val="11"/>
        <color theme="1"/>
        <rFont val="Calibri"/>
        <family val="2"/>
        <scheme val="minor"/>
      </rPr>
      <t>, p. 128-129.</t>
    </r>
  </si>
  <si>
    <r>
      <t xml:space="preserve">NPC Resources (2018, April), </t>
    </r>
    <r>
      <rPr>
        <i/>
        <sz val="11"/>
        <color theme="1"/>
        <rFont val="Calibri"/>
        <family val="2"/>
        <scheme val="minor"/>
      </rPr>
      <t>Annual Report 2017</t>
    </r>
    <r>
      <rPr>
        <sz val="11"/>
        <color theme="1"/>
        <rFont val="Calibri"/>
        <family val="2"/>
        <scheme val="minor"/>
      </rPr>
      <t>, p. 134.</t>
    </r>
  </si>
  <si>
    <t>Segment additions to non-current assets. NPC Resources has four reportable operating segments: Plantation &amp; Milling; Fishery; Hotelier, and; Corporate. The palm oil adjster is based on the Plantation &amp; Milling segment's proportion of total plus 1/4 Corporate segment as it is not a productive segment.</t>
  </si>
  <si>
    <r>
      <t xml:space="preserve">NPC Resources (2019, April), </t>
    </r>
    <r>
      <rPr>
        <i/>
        <sz val="11"/>
        <color theme="1"/>
        <rFont val="Calibri"/>
        <family val="2"/>
        <scheme val="minor"/>
      </rPr>
      <t>Annual Report 2018</t>
    </r>
    <r>
      <rPr>
        <sz val="11"/>
        <color theme="1"/>
        <rFont val="Calibri"/>
        <family val="2"/>
        <scheme val="minor"/>
      </rPr>
      <t>, p. 152.</t>
    </r>
  </si>
  <si>
    <t>Oji Group</t>
  </si>
  <si>
    <t>Oji Holdings Corp</t>
  </si>
  <si>
    <t>Segment increase in property, plant, equipment and intangible assets / capital expenditures. Oji has two reportable operating segments: Pulp &amp; Paper Products Business and Converted Paper Products Business. The pulp &amp; paper adjuster is, therefore, the proportion of Pulp &amp; Paper Products Business and Converted Paper Products Business segments of the total. As the 2012 annual report does not include a Forest Resources &amp; Environmental Marketing segment separately in the financial statements, the timber adjuster is estimated at 2.5% to account for the difference between pulp &amp; paper and total, and given Oji is also active in renewable energy.</t>
  </si>
  <si>
    <r>
      <t xml:space="preserve">Oji Holdings (2013, March), </t>
    </r>
    <r>
      <rPr>
        <i/>
        <sz val="11"/>
        <color theme="1"/>
        <rFont val="Calibri"/>
        <family val="2"/>
        <scheme val="minor"/>
      </rPr>
      <t>Annual Report 2012</t>
    </r>
    <r>
      <rPr>
        <sz val="11"/>
        <color theme="1"/>
        <rFont val="Calibri"/>
        <family val="2"/>
        <scheme val="minor"/>
      </rPr>
      <t>, p. 59.</t>
    </r>
  </si>
  <si>
    <t>Segment increase in property, plant, equipment and intangible assets / capital expenditures. Oji has five reportable operating segments: Household &amp; Industrial Materials; Functional Materials; Forest Resources &amp; Environmental Marketing; Printing &amp; Communications Media, and; Other. The Forest Resources &amp; Environmental Marketing segment includes three commodities: Lumber, Pulp &amp; Energy, with no further breakdown. The timber adjuster is, therefore, one third of the Forest Resources &amp; Environmental Marketing segment. The pulp &amp; paper adjuster is one third of the Forest Resources &amp; Environmental Marketing segment and the full Household &amp; Industrial Materials; Functional Materials and Printing &amp; Communications Media segments.</t>
  </si>
  <si>
    <r>
      <t xml:space="preserve">Oji Holdings (2014, December), </t>
    </r>
    <r>
      <rPr>
        <i/>
        <sz val="11"/>
        <color theme="1"/>
        <rFont val="Calibri"/>
        <family val="2"/>
        <scheme val="minor"/>
      </rPr>
      <t>Oji Group Report 2014: Oji Beyond the Boundaries</t>
    </r>
    <r>
      <rPr>
        <sz val="11"/>
        <color theme="1"/>
        <rFont val="Calibri"/>
        <family val="2"/>
        <scheme val="minor"/>
      </rPr>
      <t>, p. 130-131.</t>
    </r>
  </si>
  <si>
    <r>
      <t xml:space="preserve">Oji Holdings (2014, December), </t>
    </r>
    <r>
      <rPr>
        <i/>
        <sz val="11"/>
        <color theme="1"/>
        <rFont val="Calibri"/>
        <family val="2"/>
        <scheme val="minor"/>
      </rPr>
      <t>Oji Group Report 2014: Oji Beyond the Boundaries</t>
    </r>
    <r>
      <rPr>
        <sz val="11"/>
        <color theme="1"/>
        <rFont val="Calibri"/>
        <family val="2"/>
        <scheme val="minor"/>
      </rPr>
      <t>, p. 130.</t>
    </r>
  </si>
  <si>
    <t>x</t>
  </si>
  <si>
    <r>
      <t xml:space="preserve">Oji Holdings (2016, September), </t>
    </r>
    <r>
      <rPr>
        <i/>
        <sz val="11"/>
        <color theme="1"/>
        <rFont val="Calibri"/>
        <family val="2"/>
        <scheme val="minor"/>
      </rPr>
      <t>Consolidated Financial Statements for the Fiscal Year-ended March 31, 2016</t>
    </r>
    <r>
      <rPr>
        <sz val="11"/>
        <color theme="1"/>
        <rFont val="Calibri"/>
        <family val="2"/>
        <scheme val="minor"/>
      </rPr>
      <t>, p. 57-58.</t>
    </r>
  </si>
  <si>
    <r>
      <t xml:space="preserve">Oji Holdings (2016, September), </t>
    </r>
    <r>
      <rPr>
        <i/>
        <sz val="11"/>
        <color theme="1"/>
        <rFont val="Calibri"/>
        <family val="2"/>
        <scheme val="minor"/>
      </rPr>
      <t>Consolidated Financial Statements for the Fiscal Year-ended March 31, 2016</t>
    </r>
    <r>
      <rPr>
        <sz val="11"/>
        <color theme="1"/>
        <rFont val="Calibri"/>
        <family val="2"/>
        <scheme val="minor"/>
      </rPr>
      <t>, p. 57.</t>
    </r>
  </si>
  <si>
    <t>Segment sales. Only summary of consolidated financial statements available for 2017 and 2018. Does not incldue segment capital expenditures. Oji has five reportable operating segments: Household &amp; Industrial Materials; Functional Materials; Forest Resources &amp; Environmental Marketing; Printing &amp; Communications Media, and; Other. The Forest Resources &amp; Environmental Marketing segment includes three commodities: Lumber, Pulp &amp; Energy, with no further breakdown. The timber adjuster is, therefore, one third of the Forest Resources &amp; Environmental Marketing segment. The pulp &amp; paper adjuster is one third of the Forest Resources &amp; Environmental Marketing segment and the full Household &amp; Industrial Materials; Functional Materials and Printing &amp; Communications Media segments.</t>
  </si>
  <si>
    <r>
      <t xml:space="preserve">Oji Holdings (2018, May), </t>
    </r>
    <r>
      <rPr>
        <i/>
        <sz val="11"/>
        <color theme="1"/>
        <rFont val="Calibri"/>
        <family val="2"/>
        <scheme val="minor"/>
      </rPr>
      <t>Summary of Consolidated Financial Statements for the Fiscal Year-ended March 31, 2018</t>
    </r>
    <r>
      <rPr>
        <sz val="11"/>
        <color theme="1"/>
        <rFont val="Calibri"/>
        <family val="2"/>
        <scheme val="minor"/>
      </rPr>
      <t>, p. 3.</t>
    </r>
  </si>
  <si>
    <t>Oji Holdings</t>
  </si>
  <si>
    <t>Segment sales. Only summary of consolidated financial statements available for 2018 and 2019. Does not incldue segment capital expenditures. Oji has five reportable operating segments: Household &amp; Industrial Materials; Functional Materials; Forest Resources &amp; Environmental Marketing; Printing &amp; Communications Media, and; Other. The Forest Resources &amp; Environmental Marketing segment includes three commodities: Lumber, Pulp &amp; Energy, with no further breakdown. The timber adjuster is, therefore, one third of the Forest Resources &amp; Environmental Marketing segment. The pulp &amp; paper adjuster is one third of the Forest Resources &amp; Environmental Marketing segment and the full Household &amp; Industrial Materials; Functional Materials and Printing &amp; Communications Media segments.</t>
  </si>
  <si>
    <r>
      <t xml:space="preserve">Oji Holdings (2019, May), </t>
    </r>
    <r>
      <rPr>
        <i/>
        <sz val="11"/>
        <color theme="1"/>
        <rFont val="Calibri"/>
        <family val="2"/>
        <scheme val="minor"/>
      </rPr>
      <t>Summary of Consolidated Financial Statements for the Fiscal Year-ended March 31, 2019</t>
    </r>
    <r>
      <rPr>
        <sz val="11"/>
        <color theme="1"/>
        <rFont val="Calibri"/>
        <family val="2"/>
        <scheme val="minor"/>
      </rPr>
      <t>, p. 4.</t>
    </r>
  </si>
  <si>
    <t>OJI HOLDINGS CORP</t>
  </si>
  <si>
    <t>OJI HOLDINGS CORP.</t>
  </si>
  <si>
    <t>OJI HOLDINGS CORPORATION</t>
  </si>
  <si>
    <t>Oji Paper Co Ltd</t>
  </si>
  <si>
    <t xml:space="preserve"> Printing &amp; Communications Media subsidiary, therefore, 100% pulp &amp; paper.</t>
  </si>
  <si>
    <r>
      <t xml:space="preserve">Oji Holdings (2016, October), </t>
    </r>
    <r>
      <rPr>
        <i/>
        <sz val="11"/>
        <color theme="1"/>
        <rFont val="Calibri"/>
        <family val="2"/>
        <scheme val="minor"/>
      </rPr>
      <t>Oji Group Report 2016: Oji Beyond the Boundaries</t>
    </r>
    <r>
      <rPr>
        <sz val="11"/>
        <color theme="1"/>
        <rFont val="Calibri"/>
        <family val="2"/>
        <scheme val="minor"/>
      </rPr>
      <t>, p. 55.</t>
    </r>
  </si>
  <si>
    <t>OJI PAPER CO LTD (NEW)</t>
  </si>
  <si>
    <t>Olam International</t>
  </si>
  <si>
    <t>Olam International Ltd</t>
  </si>
  <si>
    <t>Cafe Outspan Vietnam Ltd</t>
  </si>
  <si>
    <t>Segment capital expenditure. Olam International has five reportable operating segments: Edible Nuts, Spices &amp; Ingredients; Confectionary &amp; Beverage Ingredients; Industrial Raw Materials, Ag Logistics &amp; Infrastructure; Food Staples &amp; Packaged Foods, and; Commodity Financial Services. Rubber and timber are included in the Industrial Raw Materials segment. Palm oil is incldued in the Food Staples &amp; Packaged Foods segment. However, there is insufficient data to breakdown the composition of these segments any further. Each segment is therefore corrected for the number of relevant products within the segment. For example, palm oil is one of 14 products within the Food Staples &amp; Packaged Foods segment, therefore the capital expenditure of that segment is multiplied by 1/14.</t>
  </si>
  <si>
    <r>
      <t xml:space="preserve">Olam International (2018, March), </t>
    </r>
    <r>
      <rPr>
        <i/>
        <sz val="11"/>
        <color theme="1"/>
        <rFont val="Calibri"/>
        <family val="2"/>
        <scheme val="minor"/>
      </rPr>
      <t>Annual Report 2017: Re-imagining Global Agriculture</t>
    </r>
    <r>
      <rPr>
        <sz val="11"/>
        <color theme="1"/>
        <rFont val="Calibri"/>
        <family val="2"/>
        <scheme val="minor"/>
      </rPr>
      <t>, p. FS-83.</t>
    </r>
  </si>
  <si>
    <t>Olam Americas Inc</t>
  </si>
  <si>
    <t>OLAM HOLDINGS BV</t>
  </si>
  <si>
    <t>Republic of Singapore</t>
  </si>
  <si>
    <r>
      <t xml:space="preserve">Olam International (2019, March), </t>
    </r>
    <r>
      <rPr>
        <i/>
        <sz val="11"/>
        <color theme="1"/>
        <rFont val="Calibri"/>
        <family val="2"/>
        <scheme val="minor"/>
      </rPr>
      <t>Annual Report 2018: Re-imagining Olam</t>
    </r>
    <r>
      <rPr>
        <sz val="11"/>
        <color theme="1"/>
        <rFont val="Calibri"/>
        <family val="2"/>
        <scheme val="minor"/>
      </rPr>
      <t>, p. FS-81.</t>
    </r>
  </si>
  <si>
    <t>Olam Holdings Partnership</t>
  </si>
  <si>
    <t>Segment capital expenditure. Olam International has five reportable operating segments: Edible Nuts, Spices &amp; Ingredients; Confectionary &amp; Beverage Ingredients; Industrial Raw Materials, Ag Logistics &amp; Infrastructure; Food Staples &amp; Packaged Foods, and; Commodity Financial Services. Rubber and timber are included in the Industrial Raw Materials segment. Palm oil is incldued in the Food Staples &amp; Packaged Foods segment. However, there is insufficient data to breakdown the composition of these segments any further. Each segment is therefore corrected for the number of relevant products within the segment. For example, palm oil is one of 6 products within the Food Staples &amp; Packaged Foods segment, therefore the capital expenditure of that segment is multiplied by 1/14.</t>
  </si>
  <si>
    <r>
      <t xml:space="preserve">Olam International (2010, October), </t>
    </r>
    <r>
      <rPr>
        <i/>
        <sz val="11"/>
        <color theme="1"/>
        <rFont val="Calibri"/>
        <family val="2"/>
        <scheme val="minor"/>
      </rPr>
      <t>Annual Report 2010: Delivering Our Strategy</t>
    </r>
    <r>
      <rPr>
        <sz val="11"/>
        <color theme="1"/>
        <rFont val="Calibri"/>
        <family val="2"/>
        <scheme val="minor"/>
      </rPr>
      <t>, p. 74.</t>
    </r>
  </si>
  <si>
    <r>
      <t xml:space="preserve">Olam International (2014, September), </t>
    </r>
    <r>
      <rPr>
        <i/>
        <sz val="11"/>
        <color theme="1"/>
        <rFont val="Calibri"/>
        <family val="2"/>
        <scheme val="minor"/>
      </rPr>
      <t>Annual Report 2014: Transcending Boundaries</t>
    </r>
    <r>
      <rPr>
        <sz val="11"/>
        <color theme="1"/>
        <rFont val="Calibri"/>
        <family val="2"/>
        <scheme val="minor"/>
      </rPr>
      <t>, p. 43-52, FS-191-193.</t>
    </r>
  </si>
  <si>
    <r>
      <t xml:space="preserve">Olam International (2017, March), </t>
    </r>
    <r>
      <rPr>
        <i/>
        <sz val="11"/>
        <color theme="1"/>
        <rFont val="Calibri"/>
        <family val="2"/>
        <scheme val="minor"/>
      </rPr>
      <t>Annual Report 2016: Maximizing Value and Purpose</t>
    </r>
    <r>
      <rPr>
        <sz val="11"/>
        <color theme="1"/>
        <rFont val="Calibri"/>
        <family val="2"/>
        <scheme val="minor"/>
      </rPr>
      <t>, p. 28, 30, FS-84-FS-85.</t>
    </r>
  </si>
  <si>
    <r>
      <t xml:space="preserve">Olam International (2013, January), </t>
    </r>
    <r>
      <rPr>
        <i/>
        <sz val="11"/>
        <color theme="1"/>
        <rFont val="Calibri"/>
        <family val="2"/>
        <scheme val="minor"/>
      </rPr>
      <t>Annual Report 2012: Shaping the Future</t>
    </r>
    <r>
      <rPr>
        <sz val="11"/>
        <color theme="1"/>
        <rFont val="Calibri"/>
        <family val="2"/>
        <scheme val="minor"/>
      </rPr>
      <t>, p. 86, 178-179.</t>
    </r>
  </si>
  <si>
    <t>OLAM INTERNATIONAL LTD</t>
  </si>
  <si>
    <t>Ministry of Finance Singapore</t>
  </si>
  <si>
    <t>Olam Treasury Pte Ltd</t>
  </si>
  <si>
    <t>OLAM TREASURY PTE LTD</t>
  </si>
  <si>
    <t>Perkebunan Nusantara Group</t>
  </si>
  <si>
    <t>Agro Sinergi Nusantara</t>
  </si>
  <si>
    <t>Palm oil JV between PTPN I and PTPN IV.</t>
  </si>
  <si>
    <t>Perkebunan Nusantara III PT</t>
  </si>
  <si>
    <t>PERKEBUNAN NUSANTARA</t>
  </si>
  <si>
    <t>Segment assets. Perkebunana Nusantara III is the holding company of the other companies in the PTPN Group, and is 100% owned by the Republic of Indonesia - i.e. it is a fully-state-owned company. However, it also has its own direct business activities. PTPN III has three reportable operating segments: Palm Oil; Rubber, and; Other. The palm oil and rubber adjusters are based on the Palm Oil and Rubber segments.</t>
  </si>
  <si>
    <r>
      <t xml:space="preserve">Perkebunan Nusantara III (2016, July), </t>
    </r>
    <r>
      <rPr>
        <i/>
        <sz val="11"/>
        <color theme="1"/>
        <rFont val="Calibri"/>
        <family val="2"/>
        <scheme val="minor"/>
      </rPr>
      <t>Annual Report 2015: Improve Result from Transformed Resilience</t>
    </r>
    <r>
      <rPr>
        <sz val="11"/>
        <color theme="1"/>
        <rFont val="Calibri"/>
        <family val="2"/>
        <scheme val="minor"/>
      </rPr>
      <t>, p. 75, 78, 129, FS-138.</t>
    </r>
  </si>
  <si>
    <t>Segment planted area. PTPN III has four segments: Palm oil; Rubber; Cane, and; Other plans. Since 2016 no annual report.</t>
  </si>
  <si>
    <t>Perkebunan Nusantara III (2017, December), Annual Report 2016, p. 3, 106-115.</t>
  </si>
  <si>
    <t>Perkebunan Nusantara III (Persero) PT</t>
  </si>
  <si>
    <t>Perkebunan Nusantara V PT</t>
  </si>
  <si>
    <t>PERKEBUNAN NUSANTARA V</t>
  </si>
  <si>
    <t>Segment revenues. PTPN V segments include: palm oil and rubber.</t>
  </si>
  <si>
    <r>
      <t xml:space="preserve">Perkebunan Nusantara V (2017), </t>
    </r>
    <r>
      <rPr>
        <i/>
        <sz val="11"/>
        <color theme="1"/>
        <rFont val="Calibri"/>
        <family val="2"/>
        <scheme val="minor"/>
      </rPr>
      <t>Annual Report 2016: Turnaround</t>
    </r>
    <r>
      <rPr>
        <sz val="11"/>
        <color theme="1"/>
        <rFont val="Calibri"/>
        <family val="2"/>
        <scheme val="minor"/>
      </rPr>
      <t>, p. 490.</t>
    </r>
  </si>
  <si>
    <t>PTPN V</t>
  </si>
  <si>
    <t>Perkebunan Nusantara V (Persero)PT</t>
  </si>
  <si>
    <t>PTPN V is primarily engaged in two commodities: palm oil and rubber. There is no breakdown of financial data by commodity or supply chain. Therefore, the palm oil and rubber adjusters are based on proportions of planted area.</t>
  </si>
  <si>
    <r>
      <t xml:space="preserve">Perkebunan Nusantara V (2016, July), </t>
    </r>
    <r>
      <rPr>
        <i/>
        <sz val="11"/>
        <color theme="1"/>
        <rFont val="Calibri"/>
        <family val="2"/>
        <scheme val="minor"/>
      </rPr>
      <t>Annual Report 2015: Consolidation to Overcome Challenges</t>
    </r>
    <r>
      <rPr>
        <sz val="11"/>
        <color theme="1"/>
        <rFont val="Calibri"/>
        <family val="2"/>
        <scheme val="minor"/>
      </rPr>
      <t>, p. 450.</t>
    </r>
  </si>
  <si>
    <t>Perkebunan Nusantara VII PT</t>
  </si>
  <si>
    <t>PERKEBUNAN NUSANTARA VII</t>
  </si>
  <si>
    <t>PTPN VII is engaged in four commodities: Rubber; Palm Oil; Tea, and; Sugarcane. There is no breakdown of financial data by commodity or supply chain. Therefore, the palm oil and rubber adjusters are based on proportions of planted area.</t>
  </si>
  <si>
    <r>
      <t xml:space="preserve">Perkebunan Nusantara VII (2014, December), </t>
    </r>
    <r>
      <rPr>
        <i/>
        <sz val="11"/>
        <color theme="1"/>
        <rFont val="Calibri"/>
        <family val="2"/>
        <scheme val="minor"/>
      </rPr>
      <t>Annual Report 2013: Resources Optimization Towards the Best Performance</t>
    </r>
    <r>
      <rPr>
        <sz val="11"/>
        <color theme="1"/>
        <rFont val="Calibri"/>
        <family val="2"/>
        <scheme val="minor"/>
      </rPr>
      <t>, p. 10.</t>
    </r>
  </si>
  <si>
    <t>Segment revenues. PTPN VII segments include: palm oil, rubber, other plantation products, and cattle and cattle feed.</t>
  </si>
  <si>
    <r>
      <t xml:space="preserve">Perkebunan Nusantara VII (2018), </t>
    </r>
    <r>
      <rPr>
        <i/>
        <sz val="11"/>
        <color theme="1"/>
        <rFont val="Calibri"/>
        <family val="2"/>
        <scheme val="minor"/>
      </rPr>
      <t>Consolidated Financial Statements for the Year-ended 31 December, 2017</t>
    </r>
    <r>
      <rPr>
        <sz val="11"/>
        <color theme="1"/>
        <rFont val="Calibri"/>
        <family val="2"/>
        <scheme val="minor"/>
      </rPr>
      <t>, p. 102.</t>
    </r>
  </si>
  <si>
    <t>PT Perkebunan Nusantara</t>
  </si>
  <si>
    <t>Segment capital expenditure. Perkebunana Nusantara III is the holding company of the other companies in the PTPN Group, and is 100% owned by the Republic of Indonesia - i.e. it is a fully-state-owned company. However, it also has its own direct business activities. These are primarily palm oil and rubber. The adjusters are based on the relevant commodities, i.e. palm oil and rubber.</t>
  </si>
  <si>
    <r>
      <t xml:space="preserve">Perkebunan Nusantara III (2012, July), Annual Report 2011: Perfection in Business Expansion, p. 255; Perkebunan Nusantara III (2016, July), </t>
    </r>
    <r>
      <rPr>
        <i/>
        <sz val="11"/>
        <color theme="1"/>
        <rFont val="Calibri"/>
        <family val="2"/>
        <scheme val="minor"/>
      </rPr>
      <t>Annual Report 2015: Improve Result from Transformed Resilience</t>
    </r>
    <r>
      <rPr>
        <sz val="11"/>
        <color theme="1"/>
        <rFont val="Calibri"/>
        <family val="2"/>
        <scheme val="minor"/>
      </rPr>
      <t>, p. 75, 78.</t>
    </r>
  </si>
  <si>
    <t>PTPN II</t>
  </si>
  <si>
    <t>Segment net sales. PTPNII has five operating segments: Palm Oil; Rubber; Tobacco; Sugar, and; Molasses.</t>
  </si>
  <si>
    <t>Perkebunan Nusantara II (2015, March), Annual Report 2013, p. 45.</t>
  </si>
  <si>
    <t>Perkebunan Nusantara II (2016, March), Annual Report 2014, p. 234.</t>
  </si>
  <si>
    <t>Segment assets. PTPNII has four operating segments: Palm Oil; Rubber; Tobacco, and; Sugar.</t>
  </si>
  <si>
    <t>Perkebunan Nusantara II (2017, December), Annual Report 2015, p. 314.</t>
  </si>
  <si>
    <t>PTPN III</t>
  </si>
  <si>
    <t>PTPN IV</t>
  </si>
  <si>
    <t>Segment revenues. PTPN IV segments include: palm oil, FFB and tea. Used 2013 figures for 2012.</t>
  </si>
  <si>
    <r>
      <t xml:space="preserve">Perkebunan Nusantara IV (2015, June), </t>
    </r>
    <r>
      <rPr>
        <i/>
        <sz val="11"/>
        <color theme="1"/>
        <rFont val="Calibri"/>
        <family val="2"/>
        <scheme val="minor"/>
      </rPr>
      <t>Annual Report 2014: Spirit of Unit Towards a Better Future</t>
    </r>
    <r>
      <rPr>
        <sz val="11"/>
        <color theme="1"/>
        <rFont val="Calibri"/>
        <family val="2"/>
        <scheme val="minor"/>
      </rPr>
      <t>, p. 243.</t>
    </r>
  </si>
  <si>
    <t>Segment revenues. PTPN IV segments include: palm oil, FFB and tea.</t>
  </si>
  <si>
    <r>
      <t xml:space="preserve">Perkebunan Nusantara IV (2016), </t>
    </r>
    <r>
      <rPr>
        <i/>
        <sz val="11"/>
        <color theme="1"/>
        <rFont val="Calibri"/>
        <family val="2"/>
        <scheme val="minor"/>
      </rPr>
      <t>Annual Report 2015: Provide a Sustainable Value for Stakeholders</t>
    </r>
    <r>
      <rPr>
        <sz val="11"/>
        <color theme="1"/>
        <rFont val="Calibri"/>
        <family val="2"/>
        <scheme val="minor"/>
      </rPr>
      <t>, p. 277.</t>
    </r>
  </si>
  <si>
    <t>Indonesia Republic</t>
  </si>
  <si>
    <t>PTPN VII</t>
  </si>
  <si>
    <t>PTPN VIII</t>
  </si>
  <si>
    <t>Segment assets from 2013, new earlier report identified.</t>
  </si>
  <si>
    <r>
      <t xml:space="preserve">Perkebunan Nusantara VIII (2015, August), </t>
    </r>
    <r>
      <rPr>
        <i/>
        <sz val="11"/>
        <color theme="1"/>
        <rFont val="Calibri"/>
        <family val="2"/>
        <scheme val="minor"/>
      </rPr>
      <t>Annual Report 2014: Grow with the Challenge</t>
    </r>
    <r>
      <rPr>
        <sz val="11"/>
        <color theme="1"/>
        <rFont val="Calibri"/>
        <family val="2"/>
        <scheme val="minor"/>
      </rPr>
      <t>, p. 304.</t>
    </r>
  </si>
  <si>
    <t>Segment assets. Perkebunana Nusantara VIII has five reportable operating segments: Tea; Rubber; Palm Oil; Quinine, and; Others. The palm oil and rubber adjusters are based on the Palm Oil and Rubber segments. 2015 figures were not available and 2014 figures were illegible in the annual report. Therefore, 2013 figures were used.</t>
  </si>
  <si>
    <r>
      <t xml:space="preserve">Perkebunan Nusantara VIII (2015, April), </t>
    </r>
    <r>
      <rPr>
        <i/>
        <sz val="11"/>
        <color theme="1"/>
        <rFont val="Calibri"/>
        <family val="2"/>
        <scheme val="minor"/>
      </rPr>
      <t>Annual Report 2014: Grow with the Challenge</t>
    </r>
    <r>
      <rPr>
        <sz val="11"/>
        <color theme="1"/>
        <rFont val="Calibri"/>
        <family val="2"/>
        <scheme val="minor"/>
      </rPr>
      <t>, p. 304.</t>
    </r>
  </si>
  <si>
    <t xml:space="preserve">Segment cost of revenue. Perkebunana Nusantara VIII has five reportable operating segments: Tea; Rubber; Palm Oil; Quinine, and; Others. The palm oil and rubber adjusters are based on the Palm Oil and Rubber segments. </t>
  </si>
  <si>
    <r>
      <t xml:space="preserve">Perkebunan Nusantara VIII (2018, July), </t>
    </r>
    <r>
      <rPr>
        <i/>
        <sz val="11"/>
        <color theme="1"/>
        <rFont val="Calibri"/>
        <family val="2"/>
        <scheme val="minor"/>
      </rPr>
      <t>Annual Report 2017: Rising Performance Through the Challenge</t>
    </r>
    <r>
      <rPr>
        <sz val="11"/>
        <color theme="1"/>
        <rFont val="Calibri"/>
        <family val="2"/>
        <scheme val="minor"/>
      </rPr>
      <t>, p. FS-80.</t>
    </r>
  </si>
  <si>
    <r>
      <t xml:space="preserve">Perkebunan Nusantara VIII (2019, July), </t>
    </r>
    <r>
      <rPr>
        <i/>
        <sz val="11"/>
        <color theme="1"/>
        <rFont val="Calibri"/>
        <family val="2"/>
        <scheme val="minor"/>
      </rPr>
      <t>Annual Report 2018: Asset Optimization through Property Investment</t>
    </r>
    <r>
      <rPr>
        <sz val="11"/>
        <color theme="1"/>
        <rFont val="Calibri"/>
        <family val="2"/>
        <scheme val="minor"/>
      </rPr>
      <t>, p. FS-50.</t>
    </r>
  </si>
  <si>
    <t>PTPN X</t>
  </si>
  <si>
    <t>Not active focus agro commodity.</t>
  </si>
  <si>
    <t>PTPN XI</t>
  </si>
  <si>
    <t>PTPN XII</t>
  </si>
  <si>
    <t>Segment planted area.</t>
  </si>
  <si>
    <r>
      <t xml:space="preserve">Perkebunan Nusantara XII (2018, April), </t>
    </r>
    <r>
      <rPr>
        <i/>
        <sz val="11"/>
        <color theme="1"/>
        <rFont val="Calibri"/>
        <family val="2"/>
        <scheme val="minor"/>
      </rPr>
      <t>Annual Report 2017: Technology Optimization for Sustainable Growth</t>
    </r>
    <r>
      <rPr>
        <sz val="11"/>
        <color theme="1"/>
        <rFont val="Calibri"/>
        <family val="2"/>
        <scheme val="minor"/>
      </rPr>
      <t>, p. 11.</t>
    </r>
  </si>
  <si>
    <t>PTPN XIII</t>
  </si>
  <si>
    <t>Segment revenues. PTPN XIII segments include: palm oil and rubber.</t>
  </si>
  <si>
    <r>
      <t xml:space="preserve">Perkebunan Nusantara XIII (2013, July), </t>
    </r>
    <r>
      <rPr>
        <i/>
        <sz val="11"/>
        <color theme="1"/>
        <rFont val="Calibri"/>
        <family val="2"/>
        <scheme val="minor"/>
      </rPr>
      <t>Annual Report 2012: Strategies Towards Performance Improvement</t>
    </r>
    <r>
      <rPr>
        <sz val="11"/>
        <color theme="1"/>
        <rFont val="Calibri"/>
        <family val="2"/>
        <scheme val="minor"/>
      </rPr>
      <t>, p. 473.</t>
    </r>
  </si>
  <si>
    <r>
      <t xml:space="preserve">Perkebunan Nusantara XIII (2016), </t>
    </r>
    <r>
      <rPr>
        <i/>
        <sz val="11"/>
        <color theme="1"/>
        <rFont val="Calibri"/>
        <family val="2"/>
        <scheme val="minor"/>
      </rPr>
      <t>Annual Report 2015</t>
    </r>
    <r>
      <rPr>
        <sz val="11"/>
        <color theme="1"/>
        <rFont val="Calibri"/>
        <family val="2"/>
        <scheme val="minor"/>
      </rPr>
      <t>, p. FS-51.</t>
    </r>
  </si>
  <si>
    <r>
      <t xml:space="preserve">Perkebunan Nusantara XIII (2017), </t>
    </r>
    <r>
      <rPr>
        <i/>
        <sz val="11"/>
        <color theme="1"/>
        <rFont val="Calibri"/>
        <family val="2"/>
        <scheme val="minor"/>
      </rPr>
      <t>Annual Report 2016: Corporate Turnaround - Changing People's Mindset as the Key</t>
    </r>
    <r>
      <rPr>
        <sz val="11"/>
        <color theme="1"/>
        <rFont val="Calibri"/>
        <family val="2"/>
        <scheme val="minor"/>
      </rPr>
      <t>, p. FS-54.</t>
    </r>
  </si>
  <si>
    <t>PTPN XIII(DNU)</t>
  </si>
  <si>
    <t>Segment operating expenses. Perkebunan Nusantara XIII has two reportable operating segments: Palm Oil and Rubber. Segment breakdowns do not include segment assets or segment capital expenditures. Therefore, proportions of planted area wer used.</t>
  </si>
  <si>
    <r>
      <t xml:space="preserve">Perkebunan Nusantara XIII (2013, April), </t>
    </r>
    <r>
      <rPr>
        <i/>
        <sz val="11"/>
        <color theme="1"/>
        <rFont val="Calibri"/>
        <family val="2"/>
        <scheme val="minor"/>
      </rPr>
      <t>Annual Report 2012: Strategies Toward Performance Improvement</t>
    </r>
    <r>
      <rPr>
        <sz val="11"/>
        <color theme="1"/>
        <rFont val="Calibri"/>
        <family val="2"/>
        <scheme val="minor"/>
      </rPr>
      <t>, p. 12.</t>
    </r>
  </si>
  <si>
    <t>PTPN XIV</t>
  </si>
  <si>
    <r>
      <t xml:space="preserve">Perkebunan Nusantara XIV (2018, April), </t>
    </r>
    <r>
      <rPr>
        <i/>
        <sz val="11"/>
        <color theme="1"/>
        <rFont val="Calibri"/>
        <family val="2"/>
        <scheme val="minor"/>
      </rPr>
      <t>Annual Report 2017</t>
    </r>
    <r>
      <rPr>
        <sz val="11"/>
        <color theme="1"/>
        <rFont val="Calibri"/>
        <family val="2"/>
        <scheme val="minor"/>
      </rPr>
      <t>, p. 13, 16, 17, 19.</t>
    </r>
  </si>
  <si>
    <t>Sinergi Perkebunan Nusantara</t>
  </si>
  <si>
    <t>Palm oil subsidiary of PTPN IV and PTPN XIV.</t>
  </si>
  <si>
    <t>Perum Perhutani</t>
  </si>
  <si>
    <t>Inhutani III</t>
  </si>
  <si>
    <t>"Industry plantation commerce, forest commodity manufacturing and indusry, IPPKH greening and rehailitation, new plantation species cultivation, seedlings and planting, forestry and forest tourism services."</t>
  </si>
  <si>
    <t>Perum Perhutani (2019, August), Annual Report 2018: Execute Now, p. 105.</t>
  </si>
  <si>
    <t>Inhutani IV</t>
  </si>
  <si>
    <t>"Forest management and commerce, forest and sub-forest commodities manufacturing and industry, IPPKH greening and rehabilitation, cultivation. New plantation species cultivation and planting."</t>
  </si>
  <si>
    <t>Inhutani V</t>
  </si>
  <si>
    <t>"forest management and commerce, forest and sub-forest commodities manufacturing and industry,"</t>
  </si>
  <si>
    <t>Perhutani Anugerah Kimia</t>
  </si>
  <si>
    <t>Segment revenues. Perum Perhutani three reportable operating segments: felling wood; processed wood, and; other forest products.</t>
  </si>
  <si>
    <r>
      <t xml:space="preserve">Perum Perhutani (2012, August), </t>
    </r>
    <r>
      <rPr>
        <i/>
        <sz val="11"/>
        <color theme="1"/>
        <rFont val="Calibri"/>
        <family val="2"/>
        <scheme val="minor"/>
      </rPr>
      <t>Annual Report 2011: Increase the Productivity of Forest Resources</t>
    </r>
    <r>
      <rPr>
        <sz val="11"/>
        <color theme="1"/>
        <rFont val="Calibri"/>
        <family val="2"/>
        <scheme val="minor"/>
      </rPr>
      <t>, p. 137.</t>
    </r>
  </si>
  <si>
    <t>All revenues relate to timber / logging operations.</t>
  </si>
  <si>
    <t>Perum Perhutani (2019, August), Annual Report 2018: Execute Now, p. 599.</t>
  </si>
  <si>
    <t>Pinehill Pacific</t>
  </si>
  <si>
    <t>Pinehill Pacific Bhd</t>
  </si>
  <si>
    <t>"The Group is organised into business units based on their products and services, and has two reportable segments as follows:
(i) The plantation segment is in the business of cultivation of oil palm and processing of palm oil. It offers crude palm oil, palm kernel and other oil palm products for sale.
(ii) The investment holding segment refers to the Company with investments in subsidiaries and providing management services to the subsidiaries." The palm oil adjuster is therefore set at 100%.</t>
  </si>
  <si>
    <t>Pinehill Pacific (2018, October), Annual Report 2018, p. 103.</t>
  </si>
  <si>
    <t>Pinehill Plantations</t>
  </si>
  <si>
    <r>
      <t xml:space="preserve">Pinehill Pacific (2013, November), </t>
    </r>
    <r>
      <rPr>
        <i/>
        <sz val="11"/>
        <color theme="1"/>
        <rFont val="Calibri"/>
        <family val="2"/>
        <scheme val="minor"/>
      </rPr>
      <t>Annual Report 2013: Global Growth Partners</t>
    </r>
    <r>
      <rPr>
        <sz val="11"/>
        <color theme="1"/>
        <rFont val="Calibri"/>
        <family val="2"/>
        <scheme val="minor"/>
      </rPr>
      <t>, p. 69.</t>
    </r>
  </si>
  <si>
    <t>POSCO</t>
  </si>
  <si>
    <t>Daewoo International Corp</t>
  </si>
  <si>
    <t>2010 figures could not be found, 2011 figures used. POSCO Daewoo has three reportable operating segments: Trading; Natural Resource Development, and; Others. Palm oil exploitation falls under the Natural Resource Development segment. POSCO Daewoo subsidiary Bio Inti Agrindo is the only subsidiary active in the palm oil sector. There are no segment breakdown figures for palm oil. Therefore the proportion of assets attributable to Bio Inti Agrindo in the total assets of POSCO Daewoo are used as the palm oil adjuster.</t>
  </si>
  <si>
    <r>
      <t xml:space="preserve">POSCO Daewoo (2012, April), </t>
    </r>
    <r>
      <rPr>
        <i/>
        <sz val="11"/>
        <color theme="1"/>
        <rFont val="Calibri"/>
        <family val="2"/>
        <scheme val="minor"/>
      </rPr>
      <t>Consolidated Financial Statements for the Years Ended December 31, 2010 and 2011 with Independent Auditors’ Report,</t>
    </r>
    <r>
      <rPr>
        <sz val="11"/>
        <color theme="1"/>
        <rFont val="Calibri"/>
        <family val="2"/>
        <scheme val="minor"/>
      </rPr>
      <t xml:space="preserve"> p. 27.</t>
    </r>
  </si>
  <si>
    <t>POSCO Daewoo has three reportable operating segments: Trading; Natural Resource Development, and; Others. Palm oil exploitation falls under the Natural Resource Development segment. POSCO Daewoo subsidiary Bio Inti Agrindo is the only subsidiary active in the palm oil sector. There are no segment breakdown figures for palm oil. Therefore the proportion of assets attributable to Bio Inti Agrindo in the total assets of POSCO Daewoo are used as the palm oil adjuster.</t>
  </si>
  <si>
    <r>
      <t xml:space="preserve">POSCO Daewoo (2014, May), </t>
    </r>
    <r>
      <rPr>
        <i/>
        <sz val="11"/>
        <color theme="1"/>
        <rFont val="Calibri"/>
        <family val="2"/>
        <scheme val="minor"/>
      </rPr>
      <t>Consolidated Financial Statements for the Years Ended December 31, 2012 and 2013 with Independent Auditors’ Report,</t>
    </r>
    <r>
      <rPr>
        <sz val="11"/>
        <color theme="1"/>
        <rFont val="Calibri"/>
        <family val="2"/>
        <scheme val="minor"/>
      </rPr>
      <t xml:space="preserve"> p. 10-11.</t>
    </r>
  </si>
  <si>
    <r>
      <t xml:space="preserve">POSCO Daewoo (2015, May), </t>
    </r>
    <r>
      <rPr>
        <i/>
        <sz val="11"/>
        <color theme="1"/>
        <rFont val="Calibri"/>
        <family val="2"/>
        <scheme val="minor"/>
      </rPr>
      <t>Consolidated Financial Statements for the Years Ended December 31, 2013 and 2014 with Independent Auditors’ Report,</t>
    </r>
    <r>
      <rPr>
        <sz val="11"/>
        <color theme="1"/>
        <rFont val="Calibri"/>
        <family val="2"/>
        <scheme val="minor"/>
      </rPr>
      <t xml:space="preserve"> p. 11-12.</t>
    </r>
  </si>
  <si>
    <t>POSCO Co Ltd</t>
  </si>
  <si>
    <r>
      <t xml:space="preserve">POSCO Daewoo (2016, May), </t>
    </r>
    <r>
      <rPr>
        <i/>
        <sz val="11"/>
        <color theme="1"/>
        <rFont val="Calibri"/>
        <family val="2"/>
        <scheme val="minor"/>
      </rPr>
      <t>Consolidated Financial Statements for the Years Ended December 31, 2014 and 2015 with Independent Auditors’ Report,</t>
    </r>
    <r>
      <rPr>
        <sz val="11"/>
        <color theme="1"/>
        <rFont val="Calibri"/>
        <family val="2"/>
        <scheme val="minor"/>
      </rPr>
      <t xml:space="preserve"> p. 9-10.</t>
    </r>
  </si>
  <si>
    <t>DAEWOO INTERNATIONAL SINGAP</t>
  </si>
  <si>
    <r>
      <t xml:space="preserve">POSCO Daewoo (2017, March), </t>
    </r>
    <r>
      <rPr>
        <i/>
        <sz val="11"/>
        <color theme="1"/>
        <rFont val="Calibri"/>
        <family val="2"/>
        <scheme val="minor"/>
      </rPr>
      <t>Consolidated Financial Statements for the Years Ended December 31, 2015 and 2016 with Independent Auditors’ Report,</t>
    </r>
    <r>
      <rPr>
        <sz val="11"/>
        <color theme="1"/>
        <rFont val="Calibri"/>
        <family val="2"/>
        <scheme val="minor"/>
      </rPr>
      <t xml:space="preserve"> p. 15.</t>
    </r>
  </si>
  <si>
    <t>Posco</t>
  </si>
  <si>
    <r>
      <t xml:space="preserve">POSCO Daewoo (2018, February), </t>
    </r>
    <r>
      <rPr>
        <i/>
        <sz val="11"/>
        <color theme="1"/>
        <rFont val="Calibri"/>
        <family val="2"/>
        <scheme val="minor"/>
      </rPr>
      <t>Consolidated Financial Statements for the Years Ended December 31, 2017 and 2016 with Independent Auditors’ Report,</t>
    </r>
    <r>
      <rPr>
        <sz val="11"/>
        <color theme="1"/>
        <rFont val="Calibri"/>
        <family val="2"/>
        <scheme val="minor"/>
      </rPr>
      <t xml:space="preserve"> p. 7, 19.</t>
    </r>
  </si>
  <si>
    <t>Proportion of POSCO Daewoo's segment adjusted assets in POSCO total assets. POSCO Daewoo has three reportable operating segments: Trading; Natural Resource Development, and; Others. Palm oil exploitation falls under the Natural Resource Development segment. POSCO Daewoo subsidiary Bio Inti Agrindo is the only subsidiary active in the palm oil sector. There are no segment breakdown figures for palm oil. Therefore the proportion of assets attributable to Bio Inti Agrindo in the total assets of POSCO Daewoo are used as the palm oil adjuster.</t>
  </si>
  <si>
    <r>
      <t xml:space="preserve">POSCO (2019, March), Consolidated Financial Statements for the Years Ended December 31, 2018 and 2017 with Independent Auditors’ Report, p. 1, 22; POSCO Daewoo (2019, June), </t>
    </r>
    <r>
      <rPr>
        <i/>
        <sz val="11"/>
        <color theme="1"/>
        <rFont val="Calibri"/>
        <family val="2"/>
        <scheme val="minor"/>
      </rPr>
      <t>Consolidated Financial Statements for the Years Ended December 31, 2018 and 2017 with Independent Auditors’ Report,</t>
    </r>
    <r>
      <rPr>
        <sz val="11"/>
        <color theme="1"/>
        <rFont val="Calibri"/>
        <family val="2"/>
        <scheme val="minor"/>
      </rPr>
      <t xml:space="preserve"> p. 1, 9.</t>
    </r>
  </si>
  <si>
    <t>POSCO CAPITAL</t>
  </si>
  <si>
    <t>POSCO Capital Co Ltd</t>
  </si>
  <si>
    <t>Posco Capital Co Ltd</t>
  </si>
  <si>
    <r>
      <t xml:space="preserve">POSCO Daewoo (2013, June), </t>
    </r>
    <r>
      <rPr>
        <i/>
        <sz val="11"/>
        <color theme="1"/>
        <rFont val="Calibri"/>
        <family val="2"/>
        <scheme val="minor"/>
      </rPr>
      <t>Consolidated Financial Statements for the Years Ended December 31, 2011 and 2012 with Independent Auditors’ Report,</t>
    </r>
    <r>
      <rPr>
        <sz val="11"/>
        <color theme="1"/>
        <rFont val="Calibri"/>
        <family val="2"/>
        <scheme val="minor"/>
      </rPr>
      <t xml:space="preserve"> p. 11-12.</t>
    </r>
  </si>
  <si>
    <t>POSCO Daewoo Corp</t>
  </si>
  <si>
    <r>
      <t xml:space="preserve">POSCO Daewoo (2019, June), </t>
    </r>
    <r>
      <rPr>
        <i/>
        <sz val="11"/>
        <color theme="1"/>
        <rFont val="Calibri"/>
        <family val="2"/>
        <scheme val="minor"/>
      </rPr>
      <t>Consolidated Financial Statements for the Years Ended December 31, 2018 and 2017 with Independent Auditors’ Report,</t>
    </r>
    <r>
      <rPr>
        <sz val="11"/>
        <color theme="1"/>
        <rFont val="Calibri"/>
        <family val="2"/>
        <scheme val="minor"/>
      </rPr>
      <t xml:space="preserve"> p. 1, 9.</t>
    </r>
  </si>
  <si>
    <t>POSCO DAEWOO CORP</t>
  </si>
  <si>
    <t>Posco International Corp</t>
  </si>
  <si>
    <t>POSCO INVESTMENT CO LTD</t>
  </si>
  <si>
    <t>Postech Venture Capital Corp</t>
  </si>
  <si>
    <t>Postech Venture Capital is a financing vehicle, therefore group level adjuster is applied. POSCO Daewoo has three reportable operating segments: Trading; Natural Resource Development, and; Others. Palm oil exploitation falls under the Natural Resource Development segment. POSCO Daewoo subsidiary Bio Inti Agrindo is the only subsidiary active in the palm oil sector. There are no segment breakdown figures for palm oil. Therefore the proportion of assets attributable to Bio Inti Agrindo in the total assets of POSCO Daewoo are used as the palm oil adjuster.</t>
  </si>
  <si>
    <t>Zeus (Cayman) II</t>
  </si>
  <si>
    <t>Zeus (Cayman) III is a financing vehicle, therefore group level adjuster is applied. POSCO Daewoo has three reportable operating segments: Trading; Natural Resource Development, and; Others. Palm oil exploitation falls under the Natural Resource Development segment. POSCO Daewoo subsidiary Bio Inti Agrindo is the only subsidiary active in the palm oil sector. There are no segment breakdown figures for palm oil. Therefore the proportion of assets attributable to Bio Inti Agrindo in the total assets of POSCO Daewoo are used as the palm oil adjuster.</t>
  </si>
  <si>
    <t>Priceworth International</t>
  </si>
  <si>
    <t>Priceworth International Bhd</t>
  </si>
  <si>
    <t>PRICEWORTH INTERNATIONAL BHD</t>
  </si>
  <si>
    <t>Segment additions to non-current assets. Priceworth International has four operating segments: Logging; Manufacturing (of wood products); Shipyard, and; Others (investment holding and hiring services). The Timber adjuster is based on the first two segments.</t>
  </si>
  <si>
    <r>
      <t xml:space="preserve">Priceworth International (2016, October), </t>
    </r>
    <r>
      <rPr>
        <i/>
        <sz val="11"/>
        <color theme="1"/>
        <rFont val="Calibri"/>
        <family val="2"/>
        <scheme val="minor"/>
      </rPr>
      <t>Annual Report 2016</t>
    </r>
    <r>
      <rPr>
        <sz val="11"/>
        <color theme="1"/>
        <rFont val="Calibri"/>
        <family val="2"/>
        <scheme val="minor"/>
      </rPr>
      <t>, p. 122-123.</t>
    </r>
  </si>
  <si>
    <r>
      <t xml:space="preserve">Priceworth International (2018, October), </t>
    </r>
    <r>
      <rPr>
        <i/>
        <sz val="11"/>
        <color theme="1"/>
        <rFont val="Calibri"/>
        <family val="2"/>
        <scheme val="minor"/>
      </rPr>
      <t>Annual Report 2018: Sustainable Forest Management Tranforming PWI to Deliver Sustainable Result</t>
    </r>
    <r>
      <rPr>
        <sz val="11"/>
        <color theme="1"/>
        <rFont val="Calibri"/>
        <family val="2"/>
        <scheme val="minor"/>
      </rPr>
      <t>, p. 139-141.</t>
    </r>
  </si>
  <si>
    <t>Provident Agro Group</t>
  </si>
  <si>
    <t>Banyan Tumbuh Lestari</t>
  </si>
  <si>
    <t>Provident Agro has three reportable operating segments: Crude Palm Oil; Palm Kernel, and; Fresh Fruit Bunches. As these are all oil palm products, the palm oil adjuster is set at 100%.</t>
  </si>
  <si>
    <r>
      <t xml:space="preserve">Provident Agro (2017, March), </t>
    </r>
    <r>
      <rPr>
        <i/>
        <sz val="11"/>
        <color theme="1"/>
        <rFont val="Calibri"/>
        <family val="2"/>
        <scheme val="minor"/>
      </rPr>
      <t>Annual Report 2016: Stengthening Fundamentals, Delivering Values,</t>
    </r>
    <r>
      <rPr>
        <sz val="11"/>
        <color theme="1"/>
        <rFont val="Calibri"/>
        <family val="2"/>
        <scheme val="minor"/>
      </rPr>
      <t xml:space="preserve"> p. 254.</t>
    </r>
  </si>
  <si>
    <t>Global Kalimantan Makmur</t>
  </si>
  <si>
    <t>Inti Global Laksana</t>
  </si>
  <si>
    <t>Langgam Inti Hibrindo</t>
  </si>
  <si>
    <t>Mutiara Agam</t>
  </si>
  <si>
    <t>Sampoerna Agro</t>
  </si>
  <si>
    <r>
      <t xml:space="preserve">Provident Agro (2019, April), </t>
    </r>
    <r>
      <rPr>
        <i/>
        <sz val="11"/>
        <color theme="1"/>
        <rFont val="Calibri"/>
        <family val="2"/>
        <scheme val="minor"/>
      </rPr>
      <t>Annual Report 2018: Developing Potential, Broadening Horizons,</t>
    </r>
    <r>
      <rPr>
        <sz val="11"/>
        <color theme="1"/>
        <rFont val="Calibri"/>
        <family val="2"/>
        <scheme val="minor"/>
      </rPr>
      <t xml:space="preserve"> p. E-73.</t>
    </r>
  </si>
  <si>
    <t>Mutiara Sawit Seluma</t>
  </si>
  <si>
    <t>Nakau</t>
  </si>
  <si>
    <t>Nusaraya Permai</t>
  </si>
  <si>
    <t>PROVIDENT AGRO TBK PT</t>
  </si>
  <si>
    <t>Saban Sawit Subur</t>
  </si>
  <si>
    <t>Semai Lestari</t>
  </si>
  <si>
    <t>Sumatera Candi Kencana</t>
  </si>
  <si>
    <t>Transpacific Agro Industry</t>
  </si>
  <si>
    <t>PTT Group</t>
  </si>
  <si>
    <t>GC Treasury Center Company Ltd</t>
  </si>
  <si>
    <t>GC Treasury Treasury is a financing vehicle for Global Chemicals. The annual report states " GGC is one of the leading company in Green Chemical products based on Palm and Sugar." However, from further descriptions it appears that palm oil is the most significant raw material for its products. Therefore, the adjuster is set at 95%.</t>
  </si>
  <si>
    <t>PTT Global Chemical (2019, March), Annual Report 2018: Toward a Circular Living, p. 255, 258.</t>
  </si>
  <si>
    <t>GC TREASURY CENTRE CO</t>
  </si>
  <si>
    <t>GC TRSRY CNTR CO</t>
  </si>
  <si>
    <t>GLOBAL GREEN CHEMICALS PCL</t>
  </si>
  <si>
    <t>The annual report of Global Green Chemicals states " GGC is one of the leading company in Green Chemical products based on Palm and Sugar." However, from further descriptions it appears that palm oil is the most significant raw material for its products. Therefore, the adjuster is set at 95%.</t>
  </si>
  <si>
    <r>
      <t xml:space="preserve">Global Green Chemicals (2018, March), </t>
    </r>
    <r>
      <rPr>
        <i/>
        <sz val="11"/>
        <color theme="1"/>
        <rFont val="Calibri"/>
        <family val="2"/>
        <scheme val="minor"/>
      </rPr>
      <t>Annual Report 2017: Driving Green Chemicals, Brightening Up Future</t>
    </r>
    <r>
      <rPr>
        <sz val="11"/>
        <color theme="1"/>
        <rFont val="Calibri"/>
        <family val="2"/>
        <scheme val="minor"/>
      </rPr>
      <t>.</t>
    </r>
  </si>
  <si>
    <t>Global Green Chemicals PCL</t>
  </si>
  <si>
    <r>
      <t xml:space="preserve">Global Green Chemicals (2019, March), </t>
    </r>
    <r>
      <rPr>
        <i/>
        <sz val="11"/>
        <color theme="1"/>
        <rFont val="Calibri"/>
        <family val="2"/>
        <scheme val="minor"/>
      </rPr>
      <t>Annual Report 2018: Green Growth with Integrity</t>
    </r>
    <r>
      <rPr>
        <sz val="11"/>
        <color theme="1"/>
        <rFont val="Calibri"/>
        <family val="2"/>
        <scheme val="minor"/>
      </rPr>
      <t>, p. 20.</t>
    </r>
  </si>
  <si>
    <t>PTT CHEMICAL PCL</t>
  </si>
  <si>
    <t>2012 figures used. Segment assets. PTT Global Chemicals has seven operating segments: Refinery and shared facilitie; Aromatics; Olefins &amp; Derivaties; EO-Based Performance; Green Chemicals; High Volume Specialities, and; Service and others. Palm oil is included under green chemicals. There are three other product categories in this segment. Therefore, 1/3 of Green Chemicals is used.</t>
  </si>
  <si>
    <t>PTT Global Chemical (2014, March), Annual Report 2013: Together we can Grow Stronger, p. 282.</t>
  </si>
  <si>
    <t>PTT EXPLORATION AND PRODUCTION PUBLIC CO LTD (PTTEP)</t>
  </si>
  <si>
    <t>Remove</t>
  </si>
  <si>
    <t>PTT GLOBAL CHEM PUB CO LTD</t>
  </si>
  <si>
    <t>Segment assets. PTT Global Chemicals has six operating segments: Refinery and shared facilitie; Aromatics; Olefins &amp; Derivaties; Green Chemicals; Performance Materials and Chemicals, and; Service and others. Palm oil is included under green chemicals. The annual report of Global Green Chemicals states " GGC is one of the leading company in Green Chemical products based on Palm and Sugar." However, from further descriptions it appears that palm oil is the most significant raw material for its products. Therefore, the adjuster is set at 95%.</t>
  </si>
  <si>
    <t>PTT Global Chemical (2018, May), Annual Report 2017: Better Chemistry for Better Living, p. 259.</t>
  </si>
  <si>
    <t>Segment assets. PTT Global Chemicals has seven operating segments: Refinery; Aromatics; Olefins &amp; Derivaties; Green Chemicals; Performance Materials and Chemicals; Service and other, and; Investments in Other Joint Ventures and Associates. Palm oil is included under green chemicals. The annual report of Global Green Chemicals states " GGC is one of the leading company in Green Chemical products based on Palm and Sugar." However, from further descriptions it appears that palm oil is the most significant raw material for its products. Therefore, the adjuster is set at 95%.</t>
  </si>
  <si>
    <t>PTT Global Chemical PCL</t>
  </si>
  <si>
    <t>2012 figures used. Segment assets. PTT Global Chemicals has seven operating segments: Refinery and shared facilitie; Aromatics; Olefins &amp; Derivaties; EO-Based Performance; Green Chemicals; High Volume Specialities, and; Service and others. Palm oil is included under green chemicals. The annual report of Global Green Chemicals states " GGC is one of the leading company in Green Chemical products based on Palm and Sugar." However, from further descriptions it appears that palm oil is the most significant raw material for its products. Therefore, the adjuster is set at 95%.</t>
  </si>
  <si>
    <t>Segment assets. PTT Global Chemicals has seven operating segments: Refinery and shared facilitie; Aromatics; Olefins &amp; Derivaties; EO-Based Performance; Green Chemicals; High Volume Specialities, and; Service and others. Palm oil is included under green chemicals. The annual report of Global Green Chemicals states " GGC is one of the leading company in Green Chemical products based on Palm and Sugar." However, from further descriptions it appears that palm oil is the most significant raw material for its products. Therefore, the adjuster is set at 95%.</t>
  </si>
  <si>
    <t>PTT Global Chemical (2016, March), Annual Report 2015: Embracing the Sustainable Value, p. 257.</t>
  </si>
  <si>
    <t>PTT GLOBAL CHEMICAL PCL-FOREIGN</t>
  </si>
  <si>
    <t>PTT GLOBAL CHEMICAL PCL-NVDR</t>
  </si>
  <si>
    <t>PTT GLOBAL CHEMICAL PUBLIC COMPANY LTD</t>
  </si>
  <si>
    <t>PTT PCL</t>
  </si>
  <si>
    <t>PTT Global Chemical adjuster applied to its proportion of PTT total assets.</t>
  </si>
  <si>
    <t>PTT (2012, February), 2011 Auditors' Report, p. 1, 76.</t>
  </si>
  <si>
    <t>PTT (2014, February), 2013 Auditors' Report, p. 1, 83.</t>
  </si>
  <si>
    <t>PTT (2016, February), 2015 Auditors' Report, p. 4, 91.</t>
  </si>
  <si>
    <t>PTT (2018, February), 2017 Auditors' Report, p. 1, 87.</t>
  </si>
  <si>
    <r>
      <t xml:space="preserve">PTT (2019, March), </t>
    </r>
    <r>
      <rPr>
        <i/>
        <sz val="11"/>
        <color theme="1"/>
        <rFont val="Calibri"/>
        <family val="2"/>
        <scheme val="minor"/>
      </rPr>
      <t>Annual Report 2018: Balance and Sustainability</t>
    </r>
    <r>
      <rPr>
        <sz val="11"/>
        <color theme="1"/>
        <rFont val="Calibri"/>
        <family val="2"/>
        <scheme val="minor"/>
      </rPr>
      <t>, p. 10, 110.</t>
    </r>
  </si>
  <si>
    <t>PTT PCL-FOREIGN</t>
  </si>
  <si>
    <t>PTT PCL-NVDR</t>
  </si>
  <si>
    <t>PTT PLC CO LTD</t>
  </si>
  <si>
    <t>PTT PUB CO LTD</t>
  </si>
  <si>
    <t>PTT PUBLIC COMPANY LIMITED</t>
  </si>
  <si>
    <t>Puncak Niaga Holdings</t>
  </si>
  <si>
    <t>Danum Sinar</t>
  </si>
  <si>
    <t>Oil palm company</t>
  </si>
  <si>
    <r>
      <t xml:space="preserve">Puncak Niaga Holdings (2019, April), </t>
    </r>
    <r>
      <rPr>
        <i/>
        <sz val="11"/>
        <color theme="1"/>
        <rFont val="Calibri"/>
        <family val="2"/>
        <scheme val="minor"/>
      </rPr>
      <t>Annual Report 2018: Ensuring Long-Term Growth</t>
    </r>
    <r>
      <rPr>
        <sz val="11"/>
        <color theme="1"/>
        <rFont val="Calibri"/>
        <family val="2"/>
        <scheme val="minor"/>
      </rPr>
      <t>, p. 15.</t>
    </r>
  </si>
  <si>
    <t>Pujian Bayu Sdn Bhd</t>
  </si>
  <si>
    <t>Financing vehicle. Segment additions to non-current assets. Puncak Niaga has five reportable operating segments: Water; Oil &amp; Gas; Construction; Plantation, and; Concession.  The palm oil adjuster is therefore based on the category 'Plantation'.</t>
  </si>
  <si>
    <r>
      <t xml:space="preserve">Puncak Niaga Holdings (2019, April), </t>
    </r>
    <r>
      <rPr>
        <i/>
        <sz val="11"/>
        <color theme="1"/>
        <rFont val="Calibri"/>
        <family val="2"/>
        <scheme val="minor"/>
      </rPr>
      <t>Annual Report 2018: Ensuring Long-Term Growth</t>
    </r>
    <r>
      <rPr>
        <sz val="11"/>
        <color theme="1"/>
        <rFont val="Calibri"/>
        <family val="2"/>
        <scheme val="minor"/>
      </rPr>
      <t>, p. 167, 207-208.</t>
    </r>
  </si>
  <si>
    <t>Puncak Niaga Holdings Bhd</t>
  </si>
  <si>
    <t>PUNCAK NIAGA HLDGS BHD</t>
  </si>
  <si>
    <t>Puncak Niaga only started to engage in the palm oil sector at the end of 2016.</t>
  </si>
  <si>
    <r>
      <t xml:space="preserve">Puncak Niaga Holdings (2016, April), </t>
    </r>
    <r>
      <rPr>
        <i/>
        <sz val="11"/>
        <color theme="1"/>
        <rFont val="Calibri"/>
        <family val="2"/>
        <scheme val="minor"/>
      </rPr>
      <t>Annual Report 2015: Towards Sustainable Value</t>
    </r>
    <r>
      <rPr>
        <sz val="11"/>
        <color theme="1"/>
        <rFont val="Calibri"/>
        <family val="2"/>
        <scheme val="minor"/>
      </rPr>
      <t>, p. 204; Puncak Niaga Holdings (2016, October), "Puncak Niaga goes into palm oil business in Sarawak", online: https://www.puncakniaga.com.my/pnhbnew2/images/newsmedia/newscoverage/2016/october/THE-STAR-PUNCAK-NIAGA-GOES-INTO-PALM-OIL-BUSINESS-IN-SARAWAK-18-OCTOBER-2016-STARBIZ.png, viewed in April 2017.</t>
    </r>
  </si>
  <si>
    <t>Segment additions to non-current assets. Puncak Niaga has four reportable operating segments: Water &amp; Wastewater; Oil &amp; Gas; Construction, and; Others. Puncak Niaga only started to engage in the palm oil sector at the end of 2016. The palm oil adjuster is therefore based on the category 'Other' as this is likely where the bulk of expenses for the acquisition of the plantation company from Shin Yang Holding were made.</t>
  </si>
  <si>
    <t>Segment additions to non-current assets. Puncak Niaga has five reportable operating segments: Water; Oil &amp; Gas; Construction; Plantation, and; Concession.  The palm oil adjuster is therefore based on the category 'Plantation'.</t>
  </si>
  <si>
    <r>
      <t xml:space="preserve">Puncak Niaga Holdings (2019, April), </t>
    </r>
    <r>
      <rPr>
        <i/>
        <sz val="11"/>
        <color theme="1"/>
        <rFont val="Calibri"/>
        <family val="2"/>
        <scheme val="minor"/>
      </rPr>
      <t>Annual Report 2018: Ensuring Long-Term Growth</t>
    </r>
    <r>
      <rPr>
        <sz val="11"/>
        <color theme="1"/>
        <rFont val="Calibri"/>
        <family val="2"/>
        <scheme val="minor"/>
      </rPr>
      <t>, p. 207-208.</t>
    </r>
  </si>
  <si>
    <t>QL Resources</t>
  </si>
  <si>
    <t>QL Resources Bhd</t>
  </si>
  <si>
    <t>Segment additions to non-current assets. QL Resources has three reportable operating segments: Marine-Products Manufacturing; Palm Oil &amp; Biomass Energy Activities, and; Integrated Livestock Farming. The palm oil adjuster is based on the Palm Oil &amp; Biomass Energy Activities segment.</t>
  </si>
  <si>
    <r>
      <t xml:space="preserve">QL Resources (2011, July), </t>
    </r>
    <r>
      <rPr>
        <i/>
        <sz val="11"/>
        <color theme="1"/>
        <rFont val="Calibri"/>
        <family val="2"/>
        <scheme val="minor"/>
      </rPr>
      <t>Annual Report 2011: Regional Expansion</t>
    </r>
    <r>
      <rPr>
        <sz val="11"/>
        <color theme="1"/>
        <rFont val="Calibri"/>
        <family val="2"/>
        <scheme val="minor"/>
      </rPr>
      <t>, p. 110, 112.</t>
    </r>
  </si>
  <si>
    <r>
      <t xml:space="preserve">QL Resources (2014, August), </t>
    </r>
    <r>
      <rPr>
        <i/>
        <sz val="11"/>
        <color theme="1"/>
        <rFont val="Calibri"/>
        <family val="2"/>
        <scheme val="minor"/>
      </rPr>
      <t>Annual Report 2014: Sustainable Growth</t>
    </r>
    <r>
      <rPr>
        <sz val="11"/>
        <color theme="1"/>
        <rFont val="Calibri"/>
        <family val="2"/>
        <scheme val="minor"/>
      </rPr>
      <t>, p. 117, 119.</t>
    </r>
  </si>
  <si>
    <r>
      <t xml:space="preserve">QL Resources (2016, July), </t>
    </r>
    <r>
      <rPr>
        <i/>
        <sz val="11"/>
        <color theme="1"/>
        <rFont val="Calibri"/>
        <family val="2"/>
        <scheme val="minor"/>
      </rPr>
      <t>Annual Report 2016: Advancing Through Storms</t>
    </r>
    <r>
      <rPr>
        <sz val="11"/>
        <color theme="1"/>
        <rFont val="Calibri"/>
        <family val="2"/>
        <scheme val="minor"/>
      </rPr>
      <t>, p. 114, 116.</t>
    </r>
  </si>
  <si>
    <r>
      <t xml:space="preserve">QL Resources (2018, July), </t>
    </r>
    <r>
      <rPr>
        <i/>
        <sz val="11"/>
        <color theme="1"/>
        <rFont val="Calibri"/>
        <family val="2"/>
        <scheme val="minor"/>
      </rPr>
      <t>Annual Report 2018: Nourishing Lives</t>
    </r>
    <r>
      <rPr>
        <sz val="11"/>
        <color theme="1"/>
        <rFont val="Calibri"/>
        <family val="2"/>
        <scheme val="minor"/>
      </rPr>
      <t>, p. 117.</t>
    </r>
  </si>
  <si>
    <t>QL RESOURCES BHD</t>
  </si>
  <si>
    <t>R E A Holdings</t>
  </si>
  <si>
    <t>REA Holdings PLC</t>
  </si>
  <si>
    <t>PT REA Kaltim Plantations</t>
  </si>
  <si>
    <t>Plantation subsidiary.</t>
  </si>
  <si>
    <r>
      <t xml:space="preserve">REA Holdings (2016, September), </t>
    </r>
    <r>
      <rPr>
        <i/>
        <sz val="11"/>
        <color theme="1"/>
        <rFont val="Calibri"/>
        <family val="2"/>
        <scheme val="minor"/>
      </rPr>
      <t>Half Yearly Report 2016</t>
    </r>
    <r>
      <rPr>
        <sz val="11"/>
        <color theme="1"/>
        <rFont val="Calibri"/>
        <family val="2"/>
        <scheme val="minor"/>
      </rPr>
      <t>, p. 18.</t>
    </r>
  </si>
  <si>
    <t>R.E.A Holdings PLC</t>
  </si>
  <si>
    <r>
      <t xml:space="preserve">"The group continues to operate in two segments being the cultivation of oil palms and stone and coal operations, together with head office made up of the activities of the UK, European and Singaporean subsidiaries. In the period ended 30 June 2016 the relevant measures for the stone and coal operations </t>
    </r>
    <r>
      <rPr>
        <i/>
        <sz val="11"/>
        <color theme="1"/>
        <rFont val="Calibri"/>
        <family val="2"/>
        <scheme val="minor"/>
      </rPr>
      <t>continued</t>
    </r>
    <r>
      <rPr>
        <sz val="11"/>
        <color theme="1"/>
        <rFont val="Calibri"/>
        <family val="2"/>
        <scheme val="minor"/>
      </rPr>
      <t xml:space="preserve"> to fall below the quantitative threshold set out in IFRS-8. Accordingly, no segment information is included in these financial statements."</t>
    </r>
  </si>
  <si>
    <t>"The group operates in two segments: the cultivation of oil palms and stone and coal operations. In 2017 and 2016, the latter did not meet the quantitative thresholds set out in IFRS 8 “Operating segments” and, accordingly, no analyses are provided by business segment."</t>
  </si>
  <si>
    <r>
      <t xml:space="preserve">REA Holdings (2018, April), </t>
    </r>
    <r>
      <rPr>
        <i/>
        <sz val="11"/>
        <color theme="1"/>
        <rFont val="Calibri"/>
        <family val="2"/>
        <scheme val="minor"/>
      </rPr>
      <t>Annual Report 2017</t>
    </r>
    <r>
      <rPr>
        <sz val="11"/>
        <color theme="1"/>
        <rFont val="Calibri"/>
        <family val="2"/>
        <scheme val="minor"/>
      </rPr>
      <t>, p. 87.</t>
    </r>
  </si>
  <si>
    <t>"The group operates in two segments: the cultivation of oil palms and stone and coal operations. In 2018 and 2017, the latter did not meet the quantitative thresholds set out in IFRS 8 “Operating segments” and, accordingly, no analyses are provided by business segment."</t>
  </si>
  <si>
    <r>
      <t xml:space="preserve">REA Holdings (2019, April), </t>
    </r>
    <r>
      <rPr>
        <i/>
        <sz val="11"/>
        <color theme="1"/>
        <rFont val="Calibri"/>
        <family val="2"/>
        <scheme val="minor"/>
      </rPr>
      <t>Annual Report 2018</t>
    </r>
    <r>
      <rPr>
        <sz val="11"/>
        <color theme="1"/>
        <rFont val="Calibri"/>
        <family val="2"/>
        <scheme val="minor"/>
      </rPr>
      <t>, p. 89.</t>
    </r>
  </si>
  <si>
    <t>R.E.A. HOLDINGS PLC</t>
  </si>
  <si>
    <t>REA FINANCE</t>
  </si>
  <si>
    <r>
      <t xml:space="preserve">REA Finance is a financing vehicle subsidiary, therefore group level adjusters are applied. "The group continues to operate in two segments being the cultivation of oil palms and stone and coal operations, together with head office made up of the activities of the UK, European and Singaporean subsidiaries. In the period ended 30 June 2016 the relevant measures for the stone and coal operations </t>
    </r>
    <r>
      <rPr>
        <i/>
        <sz val="11"/>
        <color theme="1"/>
        <rFont val="Calibri"/>
        <family val="2"/>
        <scheme val="minor"/>
      </rPr>
      <t>continued</t>
    </r>
    <r>
      <rPr>
        <sz val="11"/>
        <color theme="1"/>
        <rFont val="Calibri"/>
        <family val="2"/>
        <scheme val="minor"/>
      </rPr>
      <t xml:space="preserve"> to fall below the quantitative threshold set out in IFRS-8. Accordingly, no segment information is included in these financial statements."</t>
    </r>
  </si>
  <si>
    <t>REA Holdings</t>
  </si>
  <si>
    <t>REA HOLDINGS PLC</t>
  </si>
  <si>
    <t>Rajawali Group</t>
  </si>
  <si>
    <t>Adhyaksa Dharmasatya</t>
  </si>
  <si>
    <t>"The Group currently engages in palm plantation and its products consist of palm products such as crude palm oil and palm kernel." "The Group has two (2) reportable segments, namely; plantations and manufacturing." As both segments relate purely to palm oil, the palm oil adjuster is set at 100%.</t>
  </si>
  <si>
    <r>
      <t xml:space="preserve">Eagle High Plantations (2017, March), </t>
    </r>
    <r>
      <rPr>
        <i/>
        <sz val="11"/>
        <color theme="1"/>
        <rFont val="Calibri"/>
        <family val="2"/>
        <scheme val="minor"/>
      </rPr>
      <t>Consolidated Financial Statements for the Years Ended December 31, 2016 and 2015</t>
    </r>
    <r>
      <rPr>
        <sz val="11"/>
        <color theme="1"/>
        <rFont val="Calibri"/>
        <family val="2"/>
        <scheme val="minor"/>
      </rPr>
      <t>, p. 7, 84.</t>
    </r>
  </si>
  <si>
    <t>ADHYAKSA DHARMASATYA PT</t>
  </si>
  <si>
    <t>Arrtu Agro Nusantara</t>
  </si>
  <si>
    <t>Arrtu Borneo Perkebunan</t>
  </si>
  <si>
    <t>Arrtu Plantation</t>
  </si>
  <si>
    <t>Bumihutani Lestari</t>
  </si>
  <si>
    <t>BW Plantation</t>
  </si>
  <si>
    <t>Bumilanggeng Perdanatrada</t>
  </si>
  <si>
    <t>BW Plantation Tbk PT</t>
  </si>
  <si>
    <t>BW PLANTATION TBK PT</t>
  </si>
  <si>
    <t>Eagle High Plantations</t>
  </si>
  <si>
    <t>Eagle High Plantations Tbk PT</t>
  </si>
  <si>
    <r>
      <t>Eagle High Plantations (2019, June),</t>
    </r>
    <r>
      <rPr>
        <i/>
        <sz val="11"/>
        <color theme="1"/>
        <rFont val="Calibri"/>
        <family val="2"/>
        <scheme val="minor"/>
      </rPr>
      <t xml:space="preserve"> Growth: Annual Report 2018</t>
    </r>
    <r>
      <rPr>
        <sz val="11"/>
        <color theme="1"/>
        <rFont val="Calibri"/>
        <family val="2"/>
        <scheme val="minor"/>
      </rPr>
      <t>, p. FS-98.</t>
    </r>
  </si>
  <si>
    <t>EAGLE HIGH PLANTATIONS TBK P</t>
  </si>
  <si>
    <t>Green Eagle Holding Pte Ltd</t>
  </si>
  <si>
    <t>Rajawali Corpora PT</t>
  </si>
  <si>
    <t>Green Eagle Resources</t>
  </si>
  <si>
    <t>Jaya Mandiri Sukses</t>
  </si>
  <si>
    <t>KPG</t>
  </si>
  <si>
    <t>Mandiri Kapital Jaya</t>
  </si>
  <si>
    <t>Multikarya Sawit Prima</t>
  </si>
  <si>
    <t>Pesonalintas Surasejati</t>
  </si>
  <si>
    <t>Prima Cipta Selaras</t>
  </si>
  <si>
    <t>PT Archi Indonesia</t>
  </si>
  <si>
    <t>Satria Manunggal Sejahtera</t>
  </si>
  <si>
    <t>SAWIT SUKSES SEJAHTERA P</t>
  </si>
  <si>
    <t>Singaland Asetama</t>
  </si>
  <si>
    <t>Suryabumi Tunggal Perkasa</t>
  </si>
  <si>
    <t>Wana Catur Jaya Utama</t>
  </si>
  <si>
    <t>Rajawali Corp PT</t>
  </si>
  <si>
    <t>WILL OVERSEAS LTD</t>
  </si>
  <si>
    <t>RCMA Group</t>
  </si>
  <si>
    <t>RCMA Group Pte Ltd</t>
  </si>
  <si>
    <t>TONG TEIK PTE LTD</t>
  </si>
  <si>
    <t>Rebranded as RCMA. RCMA entered palm oil in 2016, not yet earlier. It is a private company without any financial information. The rubber adjusters is based on the number products in which RCMA is engaged (5).</t>
  </si>
  <si>
    <t>RCMA Group (n.d.), "Home", online: http://www.rcma.com/, viewed in April 2017.</t>
  </si>
  <si>
    <t>Rimbunan Hijau Group</t>
  </si>
  <si>
    <t>Grace Million</t>
  </si>
  <si>
    <t>Timber subsidiary of Subur Tiasa.</t>
  </si>
  <si>
    <r>
      <t xml:space="preserve">Subur Tiasa Holdings (2018, November), </t>
    </r>
    <r>
      <rPr>
        <i/>
        <sz val="11"/>
        <color theme="1"/>
        <rFont val="Calibri"/>
        <family val="2"/>
        <scheme val="minor"/>
      </rPr>
      <t>2018 Annual Report</t>
    </r>
    <r>
      <rPr>
        <sz val="11"/>
        <color theme="1"/>
        <rFont val="Calibri"/>
        <family val="2"/>
        <scheme val="minor"/>
      </rPr>
      <t>, p. 75.</t>
    </r>
  </si>
  <si>
    <t>Infrapalm</t>
  </si>
  <si>
    <t>Palm oil subsidiary of Subur Tiasa.</t>
  </si>
  <si>
    <t>Subur Tiasa Holdings (2016, November), 2016 Annual Report, p. 9.</t>
  </si>
  <si>
    <t>Jaya Tiasa Holdings Bhd</t>
  </si>
  <si>
    <t>Segment additions to non-current assets / capital expenditures. Jaya Tiasa has four reportable operating segments: Logs Trading; Manufacturing; Oil Palm, and; Others. The timber adjusters is based on Logs Trading and Manufacturing segments, as the latter is purely focused on wood products. The palm oil adjuster is based on the Oil Palm segment.</t>
  </si>
  <si>
    <t>Jaya Tiasa Holdings (2012, November), Annual Report 2012, p. 116-117.</t>
  </si>
  <si>
    <t>Jaya Tiasa Holdings (2016, October), Annual Report 2016, p. 122-123.</t>
  </si>
  <si>
    <t>Jaya Tiasa Holdings (2017, October), Annual Report 2017, p. 122.</t>
  </si>
  <si>
    <t>Segment additions to non-current assets / capital expenditures. Jaya Tiasa has five reportable operating segments: Logs Trading; Manufacturing; Oil Palm, Oil Mill; and; Others. The timber adjusters is based on Logs Trading and Manufacturing segments, as the latter is purely focused on wood products. The palm oil adjuster is based on the Oil Palm and Oil Mill segments.</t>
  </si>
  <si>
    <t>Jaya Tiasa Holdings (2018, October), Annual Report 2018, p. 134-135.</t>
  </si>
  <si>
    <t>Jayamax Plantation</t>
  </si>
  <si>
    <t>Palm oil subsidiary of Rimbunan Sawit.</t>
  </si>
  <si>
    <r>
      <t xml:space="preserve">RImbunan Sawit Holdings (2017, April), </t>
    </r>
    <r>
      <rPr>
        <i/>
        <sz val="11"/>
        <color theme="1"/>
        <rFont val="Calibri"/>
        <family val="2"/>
        <scheme val="minor"/>
      </rPr>
      <t>Annual Report 2016</t>
    </r>
    <r>
      <rPr>
        <sz val="11"/>
        <color theme="1"/>
        <rFont val="Calibri"/>
        <family val="2"/>
        <scheme val="minor"/>
      </rPr>
      <t>, p. 87.</t>
    </r>
  </si>
  <si>
    <t>Nescaya Palma</t>
  </si>
  <si>
    <t>Novelpac Puncakdana Plantation</t>
  </si>
  <si>
    <t>Palmlyn</t>
  </si>
  <si>
    <t>PJP Pelita Ekang-Banyok Plantation</t>
  </si>
  <si>
    <t>Rimbunan Sawit Bhd</t>
  </si>
  <si>
    <t>"Information about operating segment is not reported separately as the Group’s profit or loss, assets and liabilities are mainly confined to a single operating segment, namely the oil palm plantation and operation of palm oil mill."</t>
  </si>
  <si>
    <r>
      <t xml:space="preserve">Rimbunan Sawit Holdings (2017, February), </t>
    </r>
    <r>
      <rPr>
        <i/>
        <sz val="11"/>
        <color theme="1"/>
        <rFont val="Calibri"/>
        <family val="2"/>
        <scheme val="minor"/>
      </rPr>
      <t>Interim Financial Statements for the 4th Quarter Ended 31 December 2016</t>
    </r>
    <r>
      <rPr>
        <sz val="11"/>
        <color theme="1"/>
        <rFont val="Calibri"/>
        <family val="2"/>
        <scheme val="minor"/>
      </rPr>
      <t>, p. 12.</t>
    </r>
  </si>
  <si>
    <t>"The Group operates predominantly in one business segment in Malaysia." Namely, palm oil</t>
  </si>
  <si>
    <r>
      <t xml:space="preserve">Rimbunan Sawit Holdings (2019, May), </t>
    </r>
    <r>
      <rPr>
        <i/>
        <sz val="11"/>
        <color theme="1"/>
        <rFont val="Calibri"/>
        <family val="2"/>
        <scheme val="minor"/>
      </rPr>
      <t>Annual Report 2018</t>
    </r>
    <r>
      <rPr>
        <sz val="11"/>
        <color theme="1"/>
        <rFont val="Calibri"/>
        <family val="2"/>
        <scheme val="minor"/>
      </rPr>
      <t>, p. 127.</t>
    </r>
  </si>
  <si>
    <t>Subur Tiasa Holdings</t>
  </si>
  <si>
    <t>Segment additions to non-current assets / capital expenditures. Subur Tiasa has three reportable operating segments: Timber Segment; Plantation Segment, and; Others. The timber adjuster is based on the Timber Segment. The palm oil adjuster is based on the Plantation Segment.</t>
  </si>
  <si>
    <r>
      <t xml:space="preserve">Subur Tiasa Holdings (2017, November), </t>
    </r>
    <r>
      <rPr>
        <i/>
        <sz val="11"/>
        <color theme="1"/>
        <rFont val="Calibri"/>
        <family val="2"/>
        <scheme val="minor"/>
      </rPr>
      <t>2017 Annual Report</t>
    </r>
    <r>
      <rPr>
        <sz val="11"/>
        <color theme="1"/>
        <rFont val="Calibri"/>
        <family val="2"/>
        <scheme val="minor"/>
      </rPr>
      <t>, p. 109.</t>
    </r>
  </si>
  <si>
    <t>Subur Tiasa Holdings Bhd</t>
  </si>
  <si>
    <r>
      <t xml:space="preserve">Subur Tiasa Holdings (2016, November), </t>
    </r>
    <r>
      <rPr>
        <i/>
        <sz val="11"/>
        <color theme="1"/>
        <rFont val="Calibri"/>
        <family val="2"/>
        <scheme val="minor"/>
      </rPr>
      <t>2016 Annual Report</t>
    </r>
    <r>
      <rPr>
        <sz val="11"/>
        <color theme="1"/>
        <rFont val="Calibri"/>
        <family val="2"/>
        <scheme val="minor"/>
      </rPr>
      <t>, p. 103-104.</t>
    </r>
  </si>
  <si>
    <r>
      <t xml:space="preserve">Subur Tiasa Holdings (2018, November), </t>
    </r>
    <r>
      <rPr>
        <i/>
        <sz val="11"/>
        <color theme="1"/>
        <rFont val="Calibri"/>
        <family val="2"/>
        <scheme val="minor"/>
      </rPr>
      <t>2018 Annual Report</t>
    </r>
    <r>
      <rPr>
        <sz val="11"/>
        <color theme="1"/>
        <rFont val="Calibri"/>
        <family val="2"/>
        <scheme val="minor"/>
      </rPr>
      <t>, p. 108-109.</t>
    </r>
  </si>
  <si>
    <t>Royal Golden Eagle Group</t>
  </si>
  <si>
    <t>Gold Leaf Holdings Ltd</t>
  </si>
  <si>
    <t>AP Enterprises(Macao)</t>
  </si>
  <si>
    <t>Financing vehicle for APRIL.</t>
  </si>
  <si>
    <t>Reuters (2014, April), "路透基点：亚太资源集团旗下部门签署2.65亿美元贷款协议--TRLPC", online: http://cn.reuters.com/article/idCNL3S0NH16520140425, viewed in April 2017.</t>
  </si>
  <si>
    <t>Asian Agri</t>
  </si>
  <si>
    <t>APICAL Group</t>
  </si>
  <si>
    <t>Pure palm oil company.</t>
  </si>
  <si>
    <t>Royal Golden Eagle (n.d.), "APICAL", online: http://www.rgei.com/our-business/apical#business, viewed in April 2017.</t>
  </si>
  <si>
    <t>April Fine Paper</t>
  </si>
  <si>
    <t>Pure pulp &amp; paper company</t>
  </si>
  <si>
    <t>Royal Golden Eagle (n.d.), "APRIL", online: http://www.rgei.com/our-business/april#business, viewed in April 2017.</t>
  </si>
  <si>
    <t>APRIL Fine Paper Trading Pte</t>
  </si>
  <si>
    <t>APRIL INTERNATIONAL ENTE</t>
  </si>
  <si>
    <t>RGE Pte Ltd</t>
  </si>
  <si>
    <t>Asia Pacific Res Intl Hldg Ltd</t>
  </si>
  <si>
    <t>ASIA SYMBOL CHINA HOLDING</t>
  </si>
  <si>
    <t>Royal Golden Eagle (n.d.), "Asia Symbol", online: http://www.rgei.com/our-business/asia-symbol, viewed in April 2017.</t>
  </si>
  <si>
    <t>Asia Symbol China Holdings Ltd</t>
  </si>
  <si>
    <t>Asia Symbol(Guangdong)Paper Co</t>
  </si>
  <si>
    <t>Asia Symbol(Shandong)Paper Co</t>
  </si>
  <si>
    <t xml:space="preserve">Asia Pacific Resources Intl </t>
  </si>
  <si>
    <t>Gold Crest Capital Ltd</t>
  </si>
  <si>
    <t>Heliosity Consulting -SG</t>
  </si>
  <si>
    <t>Reuters (2015, March), "路透基点：亚太资源集团(APRIL)考虑办理高达11亿美元贷款--TRLPC", online: http://cn.reuters.com/article/idCNL4S0W51S620150303, viewed in April 2017.</t>
  </si>
  <si>
    <t>Salim Group</t>
  </si>
  <si>
    <t>FIRST PACIFIC CO</t>
  </si>
  <si>
    <t xml:space="preserve">Segment additions to non-current assets (other than financial instruments and deferred tax assets). First Pacific has four reportable operating segments: Telecommunications; Consumer Food Products; Infrastructure, and; Natural Resources. The Consumer Food Products segment essentially refers to First Pacific subsidiary Indofood Sukses Makmur. The palm oil and rubber adjusters are therefore based on Indofood Sukses Makmur's adjusters applied to First Pacific's Consumer Food Products segment. </t>
  </si>
  <si>
    <r>
      <t xml:space="preserve">First Pacific (2018, April), </t>
    </r>
    <r>
      <rPr>
        <i/>
        <sz val="11"/>
        <color theme="1"/>
        <rFont val="Calibri"/>
        <family val="2"/>
        <scheme val="minor"/>
      </rPr>
      <t>Annual Report 2017: Creating Long-Term Value in Asia</t>
    </r>
    <r>
      <rPr>
        <sz val="11"/>
        <color theme="1"/>
        <rFont val="Calibri"/>
        <family val="2"/>
        <scheme val="minor"/>
      </rPr>
      <t xml:space="preserve">, p. 160; Indofood Sukses Makmur (2017, March), </t>
    </r>
    <r>
      <rPr>
        <i/>
        <sz val="11"/>
        <color theme="1"/>
        <rFont val="Calibri"/>
        <family val="2"/>
        <scheme val="minor"/>
      </rPr>
      <t>Consolidated Financial Statements as of December 31, 2016 and the Year then Ended with Independent Auditors' Report</t>
    </r>
    <r>
      <rPr>
        <sz val="11"/>
        <color theme="1"/>
        <rFont val="Calibri"/>
        <family val="2"/>
        <scheme val="minor"/>
      </rPr>
      <t xml:space="preserve">, p. 202-203; Indofood Agri Resources (2016, April), </t>
    </r>
    <r>
      <rPr>
        <i/>
        <sz val="11"/>
        <color theme="1"/>
        <rFont val="Calibri"/>
        <family val="2"/>
        <scheme val="minor"/>
      </rPr>
      <t>Annual Report 2015: Growing Our Strengths &amp; Sustainability,</t>
    </r>
    <r>
      <rPr>
        <sz val="11"/>
        <color theme="1"/>
        <rFont val="Calibri"/>
        <family val="2"/>
        <scheme val="minor"/>
      </rPr>
      <t xml:space="preserve"> p. 19.</t>
    </r>
  </si>
  <si>
    <t>First Pacific Co Ltd</t>
  </si>
  <si>
    <r>
      <t xml:space="preserve">First Pacific (2019, April), </t>
    </r>
    <r>
      <rPr>
        <i/>
        <sz val="11"/>
        <color theme="1"/>
        <rFont val="Calibri"/>
        <family val="2"/>
        <scheme val="minor"/>
      </rPr>
      <t>Annual Report 2018: Creating Long-Term Value in Asia</t>
    </r>
    <r>
      <rPr>
        <sz val="11"/>
        <color theme="1"/>
        <rFont val="Calibri"/>
        <family val="2"/>
        <scheme val="minor"/>
      </rPr>
      <t>, p. 172.</t>
    </r>
  </si>
  <si>
    <t>Segment additions to non-current assets (other than financial instruments and deferred tax assets). First Pacific has four reportable operating segments: Telecommunications; Consumer Food Products; Infrastructure, and; Natural Resources. The Consumer Food Products segment essentially refers to First Pacific subsidiary Indofood Sukses Makmur. The palm oil and rubber adjusters are therefore based on Indofood Sukses Makmur's adjusters applied to First Pacific's Consumer Food Products segment.</t>
  </si>
  <si>
    <r>
      <t xml:space="preserve">First Pacific (2014, April), Annual Report 2013: Creating Long-Term Value in Asia, p. 143-144; Indofood Mukses Makmur (2014, April), </t>
    </r>
    <r>
      <rPr>
        <i/>
        <sz val="11"/>
        <color theme="1"/>
        <rFont val="Calibri"/>
        <family val="2"/>
        <scheme val="minor"/>
      </rPr>
      <t>Annual Report 2013: Stay Ahead, Go Beyond</t>
    </r>
    <r>
      <rPr>
        <sz val="11"/>
        <color theme="1"/>
        <rFont val="Calibri"/>
        <family val="2"/>
        <scheme val="minor"/>
      </rPr>
      <t xml:space="preserve">, p. 199-200; Indofood Agi Resources (2014, April), </t>
    </r>
    <r>
      <rPr>
        <i/>
        <sz val="11"/>
        <color theme="1"/>
        <rFont val="Calibri"/>
        <family val="2"/>
        <scheme val="minor"/>
      </rPr>
      <t>Annual Report 2013: Seizing Growth Opportunities</t>
    </r>
    <r>
      <rPr>
        <sz val="11"/>
        <color theme="1"/>
        <rFont val="Calibri"/>
        <family val="2"/>
        <scheme val="minor"/>
      </rPr>
      <t>, p. 17.</t>
    </r>
  </si>
  <si>
    <r>
      <t xml:space="preserve">First Pacific (2016, March), </t>
    </r>
    <r>
      <rPr>
        <i/>
        <sz val="11"/>
        <color theme="1"/>
        <rFont val="Calibri"/>
        <family val="2"/>
        <scheme val="minor"/>
      </rPr>
      <t>Annual Report 2015: Creating Long-Term Value in Asia</t>
    </r>
    <r>
      <rPr>
        <sz val="11"/>
        <color theme="1"/>
        <rFont val="Calibri"/>
        <family val="2"/>
        <scheme val="minor"/>
      </rPr>
      <t xml:space="preserve">, p. 158; Indofood Sukses Makmur (2017, March), </t>
    </r>
    <r>
      <rPr>
        <i/>
        <sz val="11"/>
        <color theme="1"/>
        <rFont val="Calibri"/>
        <family val="2"/>
        <scheme val="minor"/>
      </rPr>
      <t>Consolidated Financial Statements as of December 31, 2016 and the Year then Ended with Independent Auditors' Report</t>
    </r>
    <r>
      <rPr>
        <sz val="11"/>
        <color theme="1"/>
        <rFont val="Calibri"/>
        <family val="2"/>
        <scheme val="minor"/>
      </rPr>
      <t xml:space="preserve">, p. 202, 205; Indofood Agri Resources (2016, April), </t>
    </r>
    <r>
      <rPr>
        <i/>
        <sz val="11"/>
        <color theme="1"/>
        <rFont val="Calibri"/>
        <family val="2"/>
        <scheme val="minor"/>
      </rPr>
      <t>Annual Report 2015: Growing Our Strengths &amp; Sustainability</t>
    </r>
    <r>
      <rPr>
        <sz val="11"/>
        <color theme="1"/>
        <rFont val="Calibri"/>
        <family val="2"/>
        <scheme val="minor"/>
      </rPr>
      <t>, p. 19.</t>
    </r>
  </si>
  <si>
    <r>
      <t xml:space="preserve">First Pacific (2016, March), </t>
    </r>
    <r>
      <rPr>
        <i/>
        <sz val="11"/>
        <color theme="1"/>
        <rFont val="Calibri"/>
        <family val="2"/>
        <scheme val="minor"/>
      </rPr>
      <t>Annual Report 2015: Creating Long-Term Value in Asia</t>
    </r>
    <r>
      <rPr>
        <sz val="11"/>
        <color theme="1"/>
        <rFont val="Calibri"/>
        <family val="2"/>
        <scheme val="minor"/>
      </rPr>
      <t xml:space="preserve">, p. 158; Indofood Sukses Makmur (2017, March), </t>
    </r>
    <r>
      <rPr>
        <i/>
        <sz val="11"/>
        <color theme="1"/>
        <rFont val="Calibri"/>
        <family val="2"/>
        <scheme val="minor"/>
      </rPr>
      <t>Consolidated Financial Statements as of December 31, 2016 and the Year then Ended with Independent Auditors' Report</t>
    </r>
    <r>
      <rPr>
        <sz val="11"/>
        <color theme="1"/>
        <rFont val="Calibri"/>
        <family val="2"/>
        <scheme val="minor"/>
      </rPr>
      <t xml:space="preserve">, p. 202-203; Indofood Agri Resources (2016, April), </t>
    </r>
    <r>
      <rPr>
        <i/>
        <sz val="11"/>
        <color theme="1"/>
        <rFont val="Calibri"/>
        <family val="2"/>
        <scheme val="minor"/>
      </rPr>
      <t>Annual Report 2015: Growing Our Strengths &amp; Sustainability</t>
    </r>
    <r>
      <rPr>
        <sz val="11"/>
        <color theme="1"/>
        <rFont val="Calibri"/>
        <family val="2"/>
        <scheme val="minor"/>
      </rPr>
      <t>, p. 19.</t>
    </r>
  </si>
  <si>
    <t>Segment additions to non-current assets (other than financial instruments and deferred tax assets). First Pacific has four reportable operating segments: Telecommunications; Consumer Food Products; Infrastructure, and; Natural Resources. The Consumer Food Products segment essentially refers to First Pacific subsidiary Indofood Sukses Makmur. The palm oil and rubber adjusters are therefore based on Indofood Sukses Makmur's adjusters applied to First Pacific's Consumer Food Products segment. 2016 planted area proportions were not available, therefore, 2015 proportions were used.</t>
  </si>
  <si>
    <r>
      <t xml:space="preserve">First Pacific (2016, September), </t>
    </r>
    <r>
      <rPr>
        <i/>
        <sz val="11"/>
        <color theme="1"/>
        <rFont val="Calibri"/>
        <family val="2"/>
        <scheme val="minor"/>
      </rPr>
      <t>Interim Report 2016: Creating Long-Term Value in Asia</t>
    </r>
    <r>
      <rPr>
        <sz val="11"/>
        <color theme="1"/>
        <rFont val="Calibri"/>
        <family val="2"/>
        <scheme val="minor"/>
      </rPr>
      <t xml:space="preserve">, p. 53; Indofood Sukses Makmur (2017, March), </t>
    </r>
    <r>
      <rPr>
        <i/>
        <sz val="11"/>
        <color theme="1"/>
        <rFont val="Calibri"/>
        <family val="2"/>
        <scheme val="minor"/>
      </rPr>
      <t>Consolidated Financial Statements as of December 31, 2016 and the Year then Ended with Independent Auditors' Report</t>
    </r>
    <r>
      <rPr>
        <sz val="11"/>
        <color theme="1"/>
        <rFont val="Calibri"/>
        <family val="2"/>
        <scheme val="minor"/>
      </rPr>
      <t xml:space="preserve">, p. 202-203; Indofood Agri Resources (2016, April), </t>
    </r>
    <r>
      <rPr>
        <i/>
        <sz val="11"/>
        <color theme="1"/>
        <rFont val="Calibri"/>
        <family val="2"/>
        <scheme val="minor"/>
      </rPr>
      <t>Annual Report 2015: Growing Our Strengths &amp; Sustainability</t>
    </r>
    <r>
      <rPr>
        <sz val="11"/>
        <color theme="1"/>
        <rFont val="Calibri"/>
        <family val="2"/>
        <scheme val="minor"/>
      </rPr>
      <t>, p. 19.</t>
    </r>
  </si>
  <si>
    <t>FIRST PACIFIC COMPANY</t>
  </si>
  <si>
    <r>
      <t xml:space="preserve">First Pacific (2012, April), </t>
    </r>
    <r>
      <rPr>
        <i/>
        <sz val="11"/>
        <color theme="1"/>
        <rFont val="Calibri"/>
        <family val="2"/>
        <scheme val="minor"/>
      </rPr>
      <t>Annual Report 2011: Delivering Long-term Growth in Asia</t>
    </r>
    <r>
      <rPr>
        <sz val="11"/>
        <color theme="1"/>
        <rFont val="Calibri"/>
        <family val="2"/>
        <scheme val="minor"/>
      </rPr>
      <t xml:space="preserve">, p. 119; Indofood Sukses Makmur (2015, March), </t>
    </r>
    <r>
      <rPr>
        <i/>
        <sz val="11"/>
        <color theme="1"/>
        <rFont val="Calibri"/>
        <family val="2"/>
        <scheme val="minor"/>
      </rPr>
      <t>Annual Report 2011: Weathering New Challenges</t>
    </r>
    <r>
      <rPr>
        <sz val="11"/>
        <color theme="1"/>
        <rFont val="Calibri"/>
        <family val="2"/>
        <scheme val="minor"/>
      </rPr>
      <t xml:space="preserve">, p. FS-169; Indofood Agri Resources (2013, April), </t>
    </r>
    <r>
      <rPr>
        <i/>
        <sz val="11"/>
        <color theme="1"/>
        <rFont val="Calibri"/>
        <family val="2"/>
        <scheme val="minor"/>
      </rPr>
      <t>Annual Report 2012: Integrating Strengths Cultivating Potential</t>
    </r>
    <r>
      <rPr>
        <sz val="11"/>
        <color theme="1"/>
        <rFont val="Calibri"/>
        <family val="2"/>
        <scheme val="minor"/>
      </rPr>
      <t>, p. 17.</t>
    </r>
  </si>
  <si>
    <t>FP Finance Ltd</t>
  </si>
  <si>
    <t>FP Finance is a financing subsidiary, therefore group level adjusters are applied. Segment additions to non-current assets (other than financial instruments and deferred tax assets). First Pacific has four reportable operating segments: Telecommunications; Consumer Food Products; Infrastructure, and; Natural Resources. The Consumer Food Products segment essentially refers to First Pacific subsidiary Indofood Sukses Makmur. The palm oil and rubber adjusters are therefore based on Indofood Sukses Makmur's adjusters applied to First Pacific's Consumer Food Products segment.</t>
  </si>
  <si>
    <r>
      <t xml:space="preserve">First Pacific (2014, April), Annual Report 2013: Creating Long-Term Value in Asia, p. 143, 145; Indofood Sukses Makmur (2015, March), </t>
    </r>
    <r>
      <rPr>
        <i/>
        <sz val="11"/>
        <color theme="1"/>
        <rFont val="Calibri"/>
        <family val="2"/>
        <scheme val="minor"/>
      </rPr>
      <t>Annual Report 2012: Solid Foundation, Pursuing Growth</t>
    </r>
    <r>
      <rPr>
        <sz val="11"/>
        <color theme="1"/>
        <rFont val="Calibri"/>
        <family val="2"/>
        <scheme val="minor"/>
      </rPr>
      <t xml:space="preserve">, p. 158-159; Indofood Agri Resources (2013, April), </t>
    </r>
    <r>
      <rPr>
        <i/>
        <sz val="11"/>
        <color theme="1"/>
        <rFont val="Calibri"/>
        <family val="2"/>
        <scheme val="minor"/>
      </rPr>
      <t>Annual Report 2012: Integrating Strengths Cultivating Potential</t>
    </r>
    <r>
      <rPr>
        <sz val="11"/>
        <color theme="1"/>
        <rFont val="Calibri"/>
        <family val="2"/>
        <scheme val="minor"/>
      </rPr>
      <t>, p. 17.</t>
    </r>
  </si>
  <si>
    <t>FP Finance(2011)Ltd</t>
  </si>
  <si>
    <r>
      <t xml:space="preserve">First Pacific (2012, April), </t>
    </r>
    <r>
      <rPr>
        <i/>
        <sz val="11"/>
        <color theme="1"/>
        <rFont val="Calibri"/>
        <family val="2"/>
        <scheme val="minor"/>
      </rPr>
      <t>Annual Report 2011: Delivering Long-term Growth in Asia</t>
    </r>
    <r>
      <rPr>
        <sz val="11"/>
        <color theme="1"/>
        <rFont val="Calibri"/>
        <family val="2"/>
        <scheme val="minor"/>
      </rPr>
      <t xml:space="preserve">, p. 120; Indofood Sukses Makmur (2015, March), </t>
    </r>
    <r>
      <rPr>
        <i/>
        <sz val="11"/>
        <color theme="1"/>
        <rFont val="Calibri"/>
        <family val="2"/>
        <scheme val="minor"/>
      </rPr>
      <t>Annual Report 2011: Weathering New Challenges</t>
    </r>
    <r>
      <rPr>
        <sz val="11"/>
        <color theme="1"/>
        <rFont val="Calibri"/>
        <family val="2"/>
        <scheme val="minor"/>
      </rPr>
      <t xml:space="preserve">, p. FS-170; Indofood Agri Resources (2013, April), </t>
    </r>
    <r>
      <rPr>
        <i/>
        <sz val="11"/>
        <color theme="1"/>
        <rFont val="Calibri"/>
        <family val="2"/>
        <scheme val="minor"/>
      </rPr>
      <t>Annual Report 2012: Integrating Strengths Cultivating Potential</t>
    </r>
    <r>
      <rPr>
        <sz val="11"/>
        <color theme="1"/>
        <rFont val="Calibri"/>
        <family val="2"/>
        <scheme val="minor"/>
      </rPr>
      <t>, p. 17.</t>
    </r>
  </si>
  <si>
    <t>FP Finance(2013)Ltd</t>
  </si>
  <si>
    <t>FP Finance(2013)Ltd is a financing subsidiary, therefore group level adjusters are applied. Segment additions to non-current assets (other than financial instruments and deferred tax assets). First Pacific has four reportable operating segments: Telecommunications; Consumer Food Products; Infrastructure, and; Natural Resources. The Consumer Food Products segment essentially refers to First Pacific subsidiary Indofood Sukses Makmur. The palm oil and rubber adjusters are therefore based on Indofood Sukses Makmur's adjusters applied to First Pacific's Consumer Food Products segment.</t>
  </si>
  <si>
    <t>Fp Treasury (2018) Ltd</t>
  </si>
  <si>
    <t>FPC CAPITAL LIMITED</t>
  </si>
  <si>
    <t>FPC CAPITAL LTD</t>
  </si>
  <si>
    <t>FPC Finance Ltd</t>
  </si>
  <si>
    <t>FPC Finance is a financing subsidiary, therefore group level adjusters are applied. Segment additions to non-current assets (other than financial instruments and deferred tax assets). First Pacific has four reportable operating segments: Telecommunications; Consumer Food Products; Infrastructure, and; Natural Resources. The Consumer Food Products segment essentially refers to First Pacific subsidiary Indofood Sukses Makmur. The palm oil and rubber adjusters are therefore based on Indofood Sukses Makmur's adjusters applied to First Pacific's Consumer Food Products segment.</t>
  </si>
  <si>
    <t>FPC Finance is a financing subsidiary, therefore group level adjusters are applied. Segment additions to non-current assets (other than financial instruments and deferred tax assets). First Pacific has four reportable operating segments: Telecommunications; Consumer Food Products; Infrastructure, and; Natural Resources. The Consumer Food Products segment essentially refers to First Pacific subsidiary Indofood Sukses Makmur. The palm oil and rubber adjusters are therefore based on Indofood Sukses Makmur's adjusters applied to First Pacific's Consumer Food Products segment. 2016 planted area proportions were not available, therefore, 2015 proportions were used.</t>
  </si>
  <si>
    <t>FPC FINANCE LTD</t>
  </si>
  <si>
    <t>First Pacific</t>
  </si>
  <si>
    <t>FPC TREASURY LTD</t>
  </si>
  <si>
    <t>FPC Treasury is a financing subsidiary, therefore group level adjusters are applied. Segment additions to non-current assets (other than financial instruments and deferred tax assets). First Pacific has four reportable operating segments: Telecommunications; Consumer Food Products; Infrastructure, and; Natural Resources. The Consumer Food Products segment essentially refers to First Pacific subsidiary Indofood Sukses Makmur. The palm oil and rubber adjusters are therefore based on Indofood Sukses Makmur's adjusters applied to First Pacific's Consumer Food Products segment.</t>
  </si>
  <si>
    <t>FPC Treasury is a financing subsidiary, therefore group level adjusters are applied. Segment additions to non-current assets (other than financial instruments and deferred tax assets). First Pacific has four reportable operating segments: Telecommunications; Consumer Food Products; Infrastructure, and; Natural Resources. The Consumer Food Products segment essentially refers to First Pacific subsidiary Indofood Sukses Makmur. The palm oil and rubber adjusters are therefore based on Indofood Sukses Makmur's adjusters applied to First Pacific's Consumer Food Products segment. 2016 planted area proportions were not available, therefore, 2015 proportions were used.</t>
  </si>
  <si>
    <t>FPMH Finance Ltd</t>
  </si>
  <si>
    <t>FPMH Finance is a financing subsidiary, therefore group level adjusters are applied. Segment additions to non-current assets (other than financial instruments and deferred tax assets). First Pacific has four reportable operating segments: Telecommunications; Consumer Food Products; Infrastructure, and; Natural Resources. The Consumer Food Products segment essentially refers to First Pacific subsidiary Indofood Sukses Makmur. The palm oil and rubber adjusters are therefore based on Indofood Sukses Makmur's adjusters applied to First Pacific's Consumer Food Products segment.</t>
  </si>
  <si>
    <t>FPT Finance Ltd</t>
  </si>
  <si>
    <t>FPT Finance is a financing subsidiary, therefore group level adjusters are applied. Segment additions to non-current assets (other than financial instruments and deferred tax assets). First Pacific has four reportable operating segments: Telecommunications; Consumer Food Products; Infrastructure, and; Natural Resources. The Consumer Food Products segment essentially refers to First Pacific subsidiary Indofood Sukses Makmur. The palm oil and rubber adjusters are therefore based on Indofood Sukses Makmur's adjusters applied to First Pacific's Consumer Food Products segment.</t>
  </si>
  <si>
    <t>FTP FINANCE LTD</t>
  </si>
  <si>
    <t>FTP Finance is a financing subsidiary, therefore group level adjusters are applied. Segment additions to non-current assets (other than financial instruments and deferred tax assets). First Pacific has four reportable operating segments: Telecommunications; Consumer Food Products; Infrastructure, and; Natural Resources. The Consumer Food Products segment essentially refers to First Pacific subsidiary Indofood Sukses Makmur. The palm oil and rubber adjusters are therefore based on Indofood Sukses Makmur's adjusters applied to First Pacific's Consumer Food Products segment.</t>
  </si>
  <si>
    <t>FTP Finance is a financing subsidiary, therefore group level adjusters are applied. Segment additions to non-current assets (other than financial instruments and deferred tax assets). First Pacific has four reportable operating segments: Telecommunications; Consumer Food Products; Infrastructure, and; Natural Resources. The Consumer Food Products segment essentially refers to First Pacific subsidiary Indofood Sukses Makmur. The palm oil and rubber adjusters are therefore based on Indofood Sukses Makmur's adjusters applied to First Pacific's Consumer Food Products segment. 2016 planted area figures were not available.</t>
  </si>
  <si>
    <t>Indofood Agri Resources</t>
  </si>
  <si>
    <t>Segment capital expenditures. Indofood Agri Resources has two reportable operating segments: Plantations Segment and Edible Oils &amp; Fats Segment. The palm oil adjuster is based on the planted area proptions of the Plantations Segment in addition to the full Edible Oils &amp; Fats Segment. The rubber adjuster is based on the planted area proptions of the Plantations Segment.</t>
  </si>
  <si>
    <r>
      <t xml:space="preserve">Indofood Agri Resources (2013, April), </t>
    </r>
    <r>
      <rPr>
        <i/>
        <sz val="11"/>
        <color theme="1"/>
        <rFont val="Calibri"/>
        <family val="2"/>
        <scheme val="minor"/>
      </rPr>
      <t>Annual Report 2012: Integrating Strengths Cultivating Potential</t>
    </r>
    <r>
      <rPr>
        <sz val="11"/>
        <color theme="1"/>
        <rFont val="Calibri"/>
        <family val="2"/>
        <scheme val="minor"/>
      </rPr>
      <t>, p. 17, 137-138.</t>
    </r>
  </si>
  <si>
    <r>
      <t xml:space="preserve">Indofood Agri Resources (2015, April), </t>
    </r>
    <r>
      <rPr>
        <i/>
        <sz val="11"/>
        <color theme="1"/>
        <rFont val="Calibri"/>
        <family val="2"/>
        <scheme val="minor"/>
      </rPr>
      <t>Annual Report 2014: Cultivating Value, Growing a Sustainable Future</t>
    </r>
    <r>
      <rPr>
        <sz val="11"/>
        <color theme="1"/>
        <rFont val="Calibri"/>
        <family val="2"/>
        <scheme val="minor"/>
      </rPr>
      <t>, p. 17, 145-146.</t>
    </r>
  </si>
  <si>
    <t>Segment capital expenditures. Indofood Agri Resources has two reportable operating segments: Plantations Segment and Edible Oils &amp; Fats Segment. The palm oil adjuster is based on the planted area proptions of the Plantations Segment in addition to the full Edible Oils &amp; Fats Segment. The rubber adjuster is based on the planted area proptions of the Plantations Segment. 2016 planted area proportions were not available, therefore, 2015 proportions were used.</t>
  </si>
  <si>
    <r>
      <t xml:space="preserve">Indofood Agri Resources (2018, March), </t>
    </r>
    <r>
      <rPr>
        <i/>
        <sz val="11"/>
        <color theme="1"/>
        <rFont val="Calibri"/>
        <family val="2"/>
        <scheme val="minor"/>
      </rPr>
      <t>Annual Report 2017: Embracing Sustainability, Pursuing Growth</t>
    </r>
    <r>
      <rPr>
        <sz val="11"/>
        <color theme="1"/>
        <rFont val="Calibri"/>
        <family val="2"/>
        <scheme val="minor"/>
      </rPr>
      <t>, p. 17, 147-149.</t>
    </r>
  </si>
  <si>
    <r>
      <t xml:space="preserve">Indofood Agri Resources (2019, March), </t>
    </r>
    <r>
      <rPr>
        <i/>
        <sz val="11"/>
        <color theme="1"/>
        <rFont val="Calibri"/>
        <family val="2"/>
        <scheme val="minor"/>
      </rPr>
      <t>Annual Report 2018: Buidling on Core Business, Driving Future Growth</t>
    </r>
    <r>
      <rPr>
        <sz val="11"/>
        <color theme="1"/>
        <rFont val="Calibri"/>
        <family val="2"/>
        <scheme val="minor"/>
      </rPr>
      <t>, p. 15, 149.</t>
    </r>
  </si>
  <si>
    <t>Indofood Agri Resources Ltd</t>
  </si>
  <si>
    <r>
      <t xml:space="preserve">Indofood Agri Resources (2016, April), </t>
    </r>
    <r>
      <rPr>
        <i/>
        <sz val="11"/>
        <color theme="1"/>
        <rFont val="Calibri"/>
        <family val="2"/>
        <scheme val="minor"/>
      </rPr>
      <t>Annual Report 2015: Growing Our Strengths &amp; Sustainability</t>
    </r>
    <r>
      <rPr>
        <sz val="11"/>
        <color theme="1"/>
        <rFont val="Calibri"/>
        <family val="2"/>
        <scheme val="minor"/>
      </rPr>
      <t>, p. 19, 145, 147.</t>
    </r>
  </si>
  <si>
    <t>INDOFOOD AGRI RESOURCES LTD</t>
  </si>
  <si>
    <t>Indofood CBP Sukses Makmur Tbk PT</t>
  </si>
  <si>
    <t>Producer of Consumer Branded Products. Beyond the scope of this research to identify proportion of PO in total products.</t>
  </si>
  <si>
    <t>Indofood Sukses Makmur</t>
  </si>
  <si>
    <t>Segment capital expenditures. Indofood Sukses Makmur has five reportable operating segments: Consumer Branded Products Business Group; Bogasari Business Group; Agribusiness Group; Distribution Business Group; Cultivation &amp; Processed Vegetables Business Group. The palm oil and rubber sector adjusters are based on the planted area proportions of the Agribusiness Group (Indofood Agri Resources) segment.</t>
  </si>
  <si>
    <r>
      <t xml:space="preserve">Indofood Sukses Makmur (2015, March), </t>
    </r>
    <r>
      <rPr>
        <i/>
        <sz val="11"/>
        <color theme="1"/>
        <rFont val="Calibri"/>
        <family val="2"/>
        <scheme val="minor"/>
      </rPr>
      <t xml:space="preserve">Weathering New Challenges: </t>
    </r>
    <r>
      <rPr>
        <sz val="11"/>
        <color theme="1"/>
        <rFont val="Calibri"/>
        <family val="2"/>
        <scheme val="minor"/>
      </rPr>
      <t>Annual Report 2011, p. 169;</t>
    </r>
  </si>
  <si>
    <t>Segment capital expenditures. Indofood Sukses Makmur has four reportable operating segments: Consumer Branded Products Business Group; Bogasari Business Group; Agribusiness Group, and; Distribution Business Group. The palm oil and rubber sector adjusters are based on the planted area proportions of the Agribusiness Group (Indofood Agri Resources) segment.</t>
  </si>
  <si>
    <r>
      <t xml:space="preserve">Indofood Sukses Makmur (2015, March), </t>
    </r>
    <r>
      <rPr>
        <i/>
        <sz val="11"/>
        <color theme="1"/>
        <rFont val="Calibri"/>
        <family val="2"/>
        <scheme val="minor"/>
      </rPr>
      <t>Annual Report 2012: Solid Foundation, Pursuing Growth</t>
    </r>
    <r>
      <rPr>
        <sz val="11"/>
        <color theme="1"/>
        <rFont val="Calibri"/>
        <family val="2"/>
        <scheme val="minor"/>
      </rPr>
      <t xml:space="preserve">, p. 158-159; Indofood Agri Resources (2013, April), </t>
    </r>
    <r>
      <rPr>
        <i/>
        <sz val="11"/>
        <color theme="1"/>
        <rFont val="Calibri"/>
        <family val="2"/>
        <scheme val="minor"/>
      </rPr>
      <t>Annual Report 2012: Integrating Strengths Cultivating Potential</t>
    </r>
    <r>
      <rPr>
        <sz val="11"/>
        <color theme="1"/>
        <rFont val="Calibri"/>
        <family val="2"/>
        <scheme val="minor"/>
      </rPr>
      <t>, p. 17.</t>
    </r>
  </si>
  <si>
    <r>
      <t xml:space="preserve">Indofood Sukses Makmur (2014, April), </t>
    </r>
    <r>
      <rPr>
        <i/>
        <sz val="11"/>
        <color theme="1"/>
        <rFont val="Calibri"/>
        <family val="2"/>
        <scheme val="minor"/>
      </rPr>
      <t>Annual Report 2013: Stay Ahead, Go Beyond</t>
    </r>
    <r>
      <rPr>
        <sz val="11"/>
        <color theme="1"/>
        <rFont val="Calibri"/>
        <family val="2"/>
        <scheme val="minor"/>
      </rPr>
      <t>, p. 200; Indofood Agri Resources (2015, April), Annual Report 2014: Cultivating Value, Growing a Sustainable Future, p. 17, 145-146.</t>
    </r>
  </si>
  <si>
    <r>
      <t xml:space="preserve">Indofood Sukses Makmur (2017, March), </t>
    </r>
    <r>
      <rPr>
        <i/>
        <sz val="11"/>
        <color theme="1"/>
        <rFont val="Calibri"/>
        <family val="2"/>
        <scheme val="minor"/>
      </rPr>
      <t>Consolidated Financial Statements as of December 31, 2016 and the Year then Ended with Independent Auditors' Report</t>
    </r>
    <r>
      <rPr>
        <sz val="11"/>
        <color theme="1"/>
        <rFont val="Calibri"/>
        <family val="2"/>
        <scheme val="minor"/>
      </rPr>
      <t xml:space="preserve">, p. 202, 205; Indofood Agri Resources (2016, April), </t>
    </r>
    <r>
      <rPr>
        <i/>
        <sz val="11"/>
        <color theme="1"/>
        <rFont val="Calibri"/>
        <family val="2"/>
        <scheme val="minor"/>
      </rPr>
      <t>Annual Report 2015: Growing Our Strengths &amp; Sustainability</t>
    </r>
    <r>
      <rPr>
        <sz val="11"/>
        <color theme="1"/>
        <rFont val="Calibri"/>
        <family val="2"/>
        <scheme val="minor"/>
      </rPr>
      <t>, p. 19.</t>
    </r>
  </si>
  <si>
    <r>
      <t xml:space="preserve">Indofood Sukses Makmur (2017, March), </t>
    </r>
    <r>
      <rPr>
        <i/>
        <sz val="11"/>
        <color theme="1"/>
        <rFont val="Calibri"/>
        <family val="2"/>
        <scheme val="minor"/>
      </rPr>
      <t>Consolidated Financial Statements as of December 31, 2016 and the Year then Ended with Independent Auditors' Report</t>
    </r>
    <r>
      <rPr>
        <sz val="11"/>
        <color theme="1"/>
        <rFont val="Calibri"/>
        <family val="2"/>
        <scheme val="minor"/>
      </rPr>
      <t xml:space="preserve">, p. 202-203; Indofood Agri Resources (2016, April), </t>
    </r>
    <r>
      <rPr>
        <i/>
        <sz val="11"/>
        <color theme="1"/>
        <rFont val="Calibri"/>
        <family val="2"/>
        <scheme val="minor"/>
      </rPr>
      <t>Annual Report 2015: Growing Our Strengths &amp; Sustainability,</t>
    </r>
    <r>
      <rPr>
        <sz val="11"/>
        <color theme="1"/>
        <rFont val="Calibri"/>
        <family val="2"/>
        <scheme val="minor"/>
      </rPr>
      <t xml:space="preserve"> p. 19.</t>
    </r>
  </si>
  <si>
    <r>
      <t xml:space="preserve">Indofood Sukses Makmur (2017, March), </t>
    </r>
    <r>
      <rPr>
        <i/>
        <sz val="11"/>
        <color theme="1"/>
        <rFont val="Calibri"/>
        <family val="2"/>
        <scheme val="minor"/>
      </rPr>
      <t>Consolidated Financial Statements as of December 31, 2016 and the Year then Ended with Independent Auditors' Report</t>
    </r>
    <r>
      <rPr>
        <sz val="11"/>
        <color theme="1"/>
        <rFont val="Calibri"/>
        <family val="2"/>
        <scheme val="minor"/>
      </rPr>
      <t>, p. 202-203; Indofood Agri Resources (2018, March), Annual Report 2017: Embracing Sustainability, Pursuing Growth, p. 17, 147-149.</t>
    </r>
  </si>
  <si>
    <t>Segment capital expenditures. Indofood Sukses Makmur has five reportable operating segments: Consumer Branded Products Business Group; Bogasari Business Group; Agribusiness Group; Distribution Business Group; Cultivation &amp; Processed Vegetables Business Group. The palm oil and rubber sector adjusters are based on the planted area proportions of the Agribusiness Group (Indofood Agri Resources) segment. 2016 planted area proportions were not available, therefore, 2015 proportions were used.</t>
  </si>
  <si>
    <t>INDOFOOD SUKSES MAKMUR TBK P</t>
  </si>
  <si>
    <r>
      <t xml:space="preserve">Indofood Sukses Makmur (2019, May), </t>
    </r>
    <r>
      <rPr>
        <i/>
        <sz val="11"/>
        <color theme="1"/>
        <rFont val="Calibri"/>
        <family val="2"/>
        <scheme val="minor"/>
      </rPr>
      <t xml:space="preserve">Being Resilient Through Challenges: </t>
    </r>
    <r>
      <rPr>
        <sz val="11"/>
        <color theme="1"/>
        <rFont val="Calibri"/>
        <family val="2"/>
        <scheme val="minor"/>
      </rPr>
      <t>Annual Report 2018, p. FS-189.</t>
    </r>
  </si>
  <si>
    <t>Indofood Sukses Makmur Tbk PT</t>
  </si>
  <si>
    <t>INDOFOOD SUKSES MAKMUR TBK PT</t>
  </si>
  <si>
    <t>Perusahaan Perkebunan London Sumatra Indonesia Tbk PT</t>
  </si>
  <si>
    <t>Plantations, processing and trading company.</t>
  </si>
  <si>
    <r>
      <t xml:space="preserve">Indofood Sukses Makmur (2017, March), </t>
    </r>
    <r>
      <rPr>
        <i/>
        <sz val="11"/>
        <color theme="1"/>
        <rFont val="Calibri"/>
        <family val="2"/>
        <scheme val="minor"/>
      </rPr>
      <t>Consolidated Financial Statements as of December 31, 2016 and the Year then Ended with Independent Auditors' Report</t>
    </r>
    <r>
      <rPr>
        <sz val="11"/>
        <color theme="1"/>
        <rFont val="Calibri"/>
        <family val="2"/>
        <scheme val="minor"/>
      </rPr>
      <t>, p. 17.</t>
    </r>
  </si>
  <si>
    <t>PP London Sumatra Indonesia</t>
  </si>
  <si>
    <t>PP London Sumatra Indonesia Tbk PT</t>
  </si>
  <si>
    <t>PT INDOFOOD SUKSES MAK</t>
  </si>
  <si>
    <r>
      <t xml:space="preserve">Indofood Sukses Makmur (2018, May), </t>
    </r>
    <r>
      <rPr>
        <i/>
        <sz val="11"/>
        <color theme="1"/>
        <rFont val="Calibri"/>
        <family val="2"/>
        <scheme val="minor"/>
      </rPr>
      <t xml:space="preserve">Continue to Pursue Possibilities and Improve Competitiveness: </t>
    </r>
    <r>
      <rPr>
        <sz val="11"/>
        <color theme="1"/>
        <rFont val="Calibri"/>
        <family val="2"/>
        <scheme val="minor"/>
      </rPr>
      <t>Annual Report 2017, p. 171; Indofood Agri Resources (2018, March), Annual Report 2017: Embracing Sustainability, Pursuing Growth, p. 17, 147-149.</t>
    </r>
  </si>
  <si>
    <t>PT Indofood Sukses Makmur Tbk</t>
  </si>
  <si>
    <t>SALIM IVOMAS PRATAMA PT</t>
  </si>
  <si>
    <t>Palm oil plantations, mills, and production of cooking oil and other related products.</t>
  </si>
  <si>
    <r>
      <t xml:space="preserve">Indofood Sukses Makmur (2017, March), </t>
    </r>
    <r>
      <rPr>
        <i/>
        <sz val="11"/>
        <color theme="1"/>
        <rFont val="Calibri"/>
        <family val="2"/>
        <scheme val="minor"/>
      </rPr>
      <t>Consolidated Financial Statements as of December 31, 2016 and the Year then Ended with Independent Auditors' Report</t>
    </r>
    <r>
      <rPr>
        <sz val="11"/>
        <color theme="1"/>
        <rFont val="Calibri"/>
        <family val="2"/>
        <scheme val="minor"/>
      </rPr>
      <t>, p. 15.</t>
    </r>
  </si>
  <si>
    <t>Salim Ivomas Pratama Tbk PT</t>
  </si>
  <si>
    <t>SALIM IVOMAS PRATAMA TBK PT</t>
  </si>
  <si>
    <t>Samko Timber</t>
  </si>
  <si>
    <t>Samko Timber Ltd</t>
  </si>
  <si>
    <t>Samko Timber has two reportable operating segments: Sumber Graha Sejahtera, and; Samko Timber Limited &amp; Samko Trading. Both segments are up- and mid-stream segments for the timber supply chain. Therefore, the timber adjuster is set at 100%.</t>
  </si>
  <si>
    <r>
      <t xml:space="preserve">Samko Timber (2017, April), </t>
    </r>
    <r>
      <rPr>
        <i/>
        <sz val="11"/>
        <color theme="1"/>
        <rFont val="Calibri"/>
        <family val="2"/>
        <scheme val="minor"/>
      </rPr>
      <t>Annual Report 2016: We're Moving to the Right Direction</t>
    </r>
    <r>
      <rPr>
        <sz val="11"/>
        <color theme="1"/>
        <rFont val="Calibri"/>
        <family val="2"/>
        <scheme val="minor"/>
      </rPr>
      <t>, p. 118.</t>
    </r>
  </si>
  <si>
    <t>Sumalindo Lestari Jaya Tbk PT</t>
  </si>
  <si>
    <t>Samling Group</t>
  </si>
  <si>
    <t>Yaw Holding Sdn Bhd</t>
  </si>
  <si>
    <t>GLENEALY PLANTATIONS MAL</t>
  </si>
  <si>
    <t>Glenealy Plantations is a pure play palm oil plantation company member of the Samling Group.</t>
  </si>
  <si>
    <t>Glenealy Plantations (n.d.), "Plantation Overview", online: http://www.glenealy.com.my/plantation_overview.html, viewed in April 2017.</t>
  </si>
  <si>
    <t>Yaw Holding</t>
  </si>
  <si>
    <t>Glenealy Plantations(Malaya) Bhd</t>
  </si>
  <si>
    <t>Lingui Developments</t>
  </si>
  <si>
    <t>Lingui is active in a number of sectors. These include primarily its timber operations. However, its diversified business interests also spans across other industries such as oil palm plantations, quarrying, rubber retread manufacturing, property investment and investment holding. No segmentation figures could be identified. As timber is its primary operation the adjuster is set at 50%. As rubber and palm oil, are also important segments, these each account for 12.5%.</t>
  </si>
  <si>
    <r>
      <t xml:space="preserve">EMIS (2017, May), </t>
    </r>
    <r>
      <rPr>
        <i/>
        <sz val="11"/>
        <color theme="1"/>
        <rFont val="Calibri"/>
        <family val="2"/>
        <scheme val="minor"/>
      </rPr>
      <t>Business Report: Lingui Developments Berhad</t>
    </r>
    <r>
      <rPr>
        <sz val="11"/>
        <color theme="1"/>
        <rFont val="Calibri"/>
        <family val="2"/>
        <scheme val="minor"/>
      </rPr>
      <t>, p. 3.</t>
    </r>
  </si>
  <si>
    <t>Samling Strategic Corporation</t>
  </si>
  <si>
    <t>Samling Strategic is primarily engaged in timber, but also in other sectors, similar to Lingui Developments. No segmentation figures could be identified. Therefore, it’s the timber adjuster is set at 50%, and palm oil and rubber each at 12.5%.</t>
  </si>
  <si>
    <r>
      <t xml:space="preserve">EMIS (2017, May), </t>
    </r>
    <r>
      <rPr>
        <i/>
        <sz val="11"/>
        <color theme="1"/>
        <rFont val="Calibri"/>
        <family val="2"/>
        <scheme val="minor"/>
      </rPr>
      <t>Business Report: Samling Strategic Corporation</t>
    </r>
    <r>
      <rPr>
        <sz val="11"/>
        <color theme="1"/>
        <rFont val="Calibri"/>
        <family val="2"/>
        <scheme val="minor"/>
      </rPr>
      <t>, p. 4.</t>
    </r>
  </si>
  <si>
    <t>Sampoerna Group</t>
  </si>
  <si>
    <t>Aek Tarum</t>
  </si>
  <si>
    <t>Description of subsidiaries' activities It does both PO &amp; rubber It could not be determined precisely what proportions, therefore 50-50</t>
  </si>
  <si>
    <t>Sampoerna Agro (2017, March), Consolidated Financial Statements as of December 31, 2016, and for the year then ended with independent auditors' report, p 9</t>
  </si>
  <si>
    <t>SLJ Global</t>
  </si>
  <si>
    <t>Kalimantan Powerindo</t>
  </si>
  <si>
    <t>SLJ Global has two reportable operating segments: Timber Manufacturing &amp; Power Plant, and Logging. As both segments are related to or integral parts of the timber value chain, the timber adjuster is set at 100%.</t>
  </si>
  <si>
    <t>Lanang Agro Bersatu</t>
  </si>
  <si>
    <t>Description of subsidiaries' activities</t>
  </si>
  <si>
    <t>Sampoerna Agro (2017, March), Consolidated Financial Statements as of December 31, 2016, and for the year then ended with independent auditors' report, p 10</t>
  </si>
  <si>
    <t>Mutiara Bunda Jaya</t>
  </si>
  <si>
    <t>Samko Timber (2018, April), Annual Report 2017: Unlimit Possibilities, p. 118.</t>
  </si>
  <si>
    <t>Sampoerna Agri Resources</t>
  </si>
  <si>
    <t>Segmentation of capital expenditures Sampoerna has two reportable segments, PO &amp; other Within other are 2 sub-segments: sago, rubber</t>
  </si>
  <si>
    <t>Sampoerna Agro (2017, March), Consolidated Financial Statements as of December 31, 2016, and for the year then ended with independent auditors' report, p 107</t>
  </si>
  <si>
    <t>Sampoerna Agro (2017, March), Consolidated Financial Statements as of December 31, 2016, and for the year then ended with independent auditors' report, p 106</t>
  </si>
  <si>
    <t>Segmentation of capital expenditures Sampoerna has two reportable segments, PO &amp; other Within other are 2 sub-segments: sago, rubber Sago is a kind of palm</t>
  </si>
  <si>
    <t>Sampoerna Agro (2014, April), 2013 Annual Report: Focussing on Building the Fundamentals, p FS-91</t>
  </si>
  <si>
    <t>Sampoerna Agro (2014, April), 2013 Annual Report: Focussing on Building the Fundamentals, p FS-92</t>
  </si>
  <si>
    <r>
      <t xml:space="preserve">Sampoerna Agro (2019, May), </t>
    </r>
    <r>
      <rPr>
        <i/>
        <sz val="11"/>
        <color theme="1"/>
        <rFont val="Calibri"/>
        <family val="2"/>
        <scheme val="minor"/>
      </rPr>
      <t>2018 Annual Report: Resilient Progression,</t>
    </r>
    <r>
      <rPr>
        <sz val="11"/>
        <color theme="1"/>
        <rFont val="Calibri"/>
        <family val="2"/>
        <scheme val="minor"/>
      </rPr>
      <t xml:space="preserve"> p. FS-76.</t>
    </r>
  </si>
  <si>
    <t>Sampoerna Agri Resources Pte L</t>
  </si>
  <si>
    <t>SAMPOERNA AGRO PT</t>
  </si>
  <si>
    <t>Sampoerna Agro (2011, May), Annual Report 2010: Sustainability in Motion, p 153</t>
  </si>
  <si>
    <t>Sampoerna Agro Tbk PT</t>
  </si>
  <si>
    <t>Sampoerna Agro (2017, March), Consolidated Financial Statements as of December 31, 2017, and for the year then ended with independent auditors' report, p 101.</t>
  </si>
  <si>
    <t>SAMPOERNA BIO FUELS</t>
  </si>
  <si>
    <t>SBF produces biofuels from sago, which is a kind of palm</t>
  </si>
  <si>
    <t>Sampoerna Agro (2015, March), Consolidated Financial Statements as of December 31, 2014, and for the year then ended with independent auditors' report, p 93</t>
  </si>
  <si>
    <t>Sampoerna Bio Fuels</t>
  </si>
  <si>
    <t>Business management subsidiary, group level adjuster applied. Segmentation of capital expenditures Sampoerna has two reportable segments, PO &amp; other Within other are 2 sub-segments: sago, rubber</t>
  </si>
  <si>
    <t>Sawit Selatan</t>
  </si>
  <si>
    <t>Sampoerna Agro (2014, April), 2013 Annual Report: Focussing on Building the Fundamentals, p FS-9.</t>
  </si>
  <si>
    <t>Selatanjaya Permai</t>
  </si>
  <si>
    <t>SLJ Global Tbk PT</t>
  </si>
  <si>
    <r>
      <t xml:space="preserve">SLJ Global (2016, March), </t>
    </r>
    <r>
      <rPr>
        <i/>
        <sz val="11"/>
        <color theme="1"/>
        <rFont val="Calibri"/>
        <family val="2"/>
        <scheme val="minor"/>
      </rPr>
      <t>Annual Report 2015</t>
    </r>
    <r>
      <rPr>
        <sz val="11"/>
        <color theme="1"/>
        <rFont val="Calibri"/>
        <family val="2"/>
        <scheme val="minor"/>
      </rPr>
      <t>, p. 83.</t>
    </r>
  </si>
  <si>
    <t>Segment assets. The Group classifies its businesses into 2 (two) reportable segments, which are business and geographical. The business segment is divided into 2 (two) core segments, which are timber manufacturing and power plant segment and logging segment. The Timber adjuster is based on the 'Timber manufacturing' segment.</t>
  </si>
  <si>
    <r>
      <t xml:space="preserve">SLJ Global (2017, February), </t>
    </r>
    <r>
      <rPr>
        <i/>
        <sz val="11"/>
        <color theme="1"/>
        <rFont val="Calibri"/>
        <family val="2"/>
        <scheme val="minor"/>
      </rPr>
      <t>Consolidated Financial Statements as of 31 December, 2017</t>
    </r>
    <r>
      <rPr>
        <sz val="11"/>
        <color theme="1"/>
        <rFont val="Calibri"/>
        <family val="2"/>
        <scheme val="minor"/>
      </rPr>
      <t>, p. 80.</t>
    </r>
  </si>
  <si>
    <t>SLJ Global (2019, May), Annual Report 2018, p. FS-80-81.</t>
  </si>
  <si>
    <t>Sungai Rangit</t>
  </si>
  <si>
    <t>Telaga Hikmah</t>
  </si>
  <si>
    <t>Usaha Agro Indonesia</t>
  </si>
  <si>
    <t>Samsung</t>
  </si>
  <si>
    <t>SAMSUNG C&amp;T CORP</t>
  </si>
  <si>
    <t>Samsung C&amp;T (2019, September), Consolidated Financial Statements March 31, 2019 and Decemb 31, 2018, p. 6, 26.</t>
  </si>
  <si>
    <t>Samsung C&amp;T Corp</t>
  </si>
  <si>
    <t>Samsung C&amp;T</t>
  </si>
  <si>
    <t>SAMSUNG C&amp;T</t>
  </si>
  <si>
    <t>2013 figures used as earlier reports not online. Proportion of palm oil subsidiaries total assets in C&amp;T total assets.</t>
  </si>
  <si>
    <r>
      <t xml:space="preserve">Samsung C&amp;T (2014, April), </t>
    </r>
    <r>
      <rPr>
        <i/>
        <sz val="11"/>
        <color theme="1"/>
        <rFont val="Calibri"/>
        <family val="2"/>
        <scheme val="minor"/>
      </rPr>
      <t>Consolidated Financial Statements December 31, 2013 and 2012</t>
    </r>
    <r>
      <rPr>
        <sz val="11"/>
        <color theme="1"/>
        <rFont val="Calibri"/>
        <family val="2"/>
        <scheme val="minor"/>
      </rPr>
      <t>, p. 3, 21.</t>
    </r>
  </si>
  <si>
    <t>Proportion of palm oil subsidiaries total assets in C&amp;T total assets.</t>
  </si>
  <si>
    <r>
      <t xml:space="preserve">Samsung C&amp;T (2015, April), </t>
    </r>
    <r>
      <rPr>
        <i/>
        <sz val="11"/>
        <color theme="1"/>
        <rFont val="Calibri"/>
        <family val="2"/>
        <scheme val="minor"/>
      </rPr>
      <t>Consolidated Financial Statements December 31, 2014 and 2013</t>
    </r>
    <r>
      <rPr>
        <sz val="11"/>
        <color theme="1"/>
        <rFont val="Calibri"/>
        <family val="2"/>
        <scheme val="minor"/>
      </rPr>
      <t>, p. 3, 24.</t>
    </r>
  </si>
  <si>
    <r>
      <t xml:space="preserve">Samsung C&amp;T (2016, April), </t>
    </r>
    <r>
      <rPr>
        <i/>
        <sz val="11"/>
        <color theme="1"/>
        <rFont val="Calibri"/>
        <family val="2"/>
        <scheme val="minor"/>
      </rPr>
      <t>Consolidated Financial Statements December 31, 2015 and 2014</t>
    </r>
    <r>
      <rPr>
        <sz val="11"/>
        <color theme="1"/>
        <rFont val="Calibri"/>
        <family val="2"/>
        <scheme val="minor"/>
      </rPr>
      <t>, p. 3, 26.</t>
    </r>
  </si>
  <si>
    <r>
      <t xml:space="preserve">Samsung C&amp;T (2017, May), </t>
    </r>
    <r>
      <rPr>
        <i/>
        <sz val="11"/>
        <color theme="1"/>
        <rFont val="Calibri"/>
        <family val="2"/>
        <scheme val="minor"/>
      </rPr>
      <t>Consolidated Financial Statements December 31, 2016 and 2015</t>
    </r>
    <r>
      <rPr>
        <sz val="11"/>
        <color theme="1"/>
        <rFont val="Calibri"/>
        <family val="2"/>
        <scheme val="minor"/>
      </rPr>
      <t>, p. 6, 29.</t>
    </r>
  </si>
  <si>
    <r>
      <t xml:space="preserve">Samsung C&amp;T (2018, April), </t>
    </r>
    <r>
      <rPr>
        <i/>
        <sz val="11"/>
        <color theme="1"/>
        <rFont val="Calibri"/>
        <family val="2"/>
        <scheme val="minor"/>
      </rPr>
      <t>Consolidated Financial Statements December 31, 2017 and 2016</t>
    </r>
    <r>
      <rPr>
        <sz val="11"/>
        <color theme="1"/>
        <rFont val="Calibri"/>
        <family val="2"/>
        <scheme val="minor"/>
      </rPr>
      <t>, p. 6, 28.</t>
    </r>
  </si>
  <si>
    <t>SAMSUNG CO LTD</t>
  </si>
  <si>
    <t>Sarawak Oil Palms</t>
  </si>
  <si>
    <t>Sarawak Oil Palms Bhd</t>
  </si>
  <si>
    <t>Segment capital expenditures. SOP has two reportable operating segments: Oil Palm and Property Development. The palm oil adjuster is, therefore, based on the Oil Palm segment.</t>
  </si>
  <si>
    <r>
      <t xml:space="preserve">Sarawak Oil Palms (2016, June), 2015 </t>
    </r>
    <r>
      <rPr>
        <i/>
        <sz val="11"/>
        <color theme="1"/>
        <rFont val="Calibri"/>
        <family val="2"/>
        <scheme val="minor"/>
      </rPr>
      <t xml:space="preserve">Annual Report: Building a Sustainable Future, </t>
    </r>
    <r>
      <rPr>
        <sz val="11"/>
        <color theme="1"/>
        <rFont val="Calibri"/>
        <family val="2"/>
        <scheme val="minor"/>
      </rPr>
      <t>p. 136.</t>
    </r>
  </si>
  <si>
    <r>
      <t xml:space="preserve">Sarawak Oil Palms (2018, June), 2017 </t>
    </r>
    <r>
      <rPr>
        <i/>
        <sz val="11"/>
        <color theme="1"/>
        <rFont val="Calibri"/>
        <family val="2"/>
        <scheme val="minor"/>
      </rPr>
      <t xml:space="preserve">Annual Report: Building a Sustainable Future, </t>
    </r>
    <r>
      <rPr>
        <sz val="11"/>
        <color theme="1"/>
        <rFont val="Calibri"/>
        <family val="2"/>
        <scheme val="minor"/>
      </rPr>
      <t>p. 152.</t>
    </r>
  </si>
  <si>
    <r>
      <t xml:space="preserve">Sarawak Oil Palms (2019, April), 2018 </t>
    </r>
    <r>
      <rPr>
        <i/>
        <sz val="11"/>
        <color theme="1"/>
        <rFont val="Calibri"/>
        <family val="2"/>
        <scheme val="minor"/>
      </rPr>
      <t xml:space="preserve">Annual Report: Building a Sustainable Future, </t>
    </r>
    <r>
      <rPr>
        <sz val="11"/>
        <color theme="1"/>
        <rFont val="Calibri"/>
        <family val="2"/>
        <scheme val="minor"/>
      </rPr>
      <t>p. 192.</t>
    </r>
  </si>
  <si>
    <t>SOP Plantations Beluru</t>
  </si>
  <si>
    <t>Palm oil subsidiary of Sarawak Oil Palms.</t>
  </si>
  <si>
    <r>
      <t xml:space="preserve">Sarawak Oil Palms (2018, June), 2017 </t>
    </r>
    <r>
      <rPr>
        <i/>
        <sz val="11"/>
        <color theme="1"/>
        <rFont val="Calibri"/>
        <family val="2"/>
        <scheme val="minor"/>
      </rPr>
      <t xml:space="preserve">Annual Report: Building a Sustainable Future, </t>
    </r>
    <r>
      <rPr>
        <sz val="11"/>
        <color theme="1"/>
        <rFont val="Calibri"/>
        <family val="2"/>
        <scheme val="minor"/>
      </rPr>
      <t>p. 119.</t>
    </r>
  </si>
  <si>
    <t>SOP Plantations Kemena</t>
  </si>
  <si>
    <t>SOP Plantations Murum</t>
  </si>
  <si>
    <t>Sarawak Plantation Group</t>
  </si>
  <si>
    <t>Sarawak Plantation Agriculture Development</t>
  </si>
  <si>
    <t>Palm oil subsidiary of Sarawak Plantation Group.</t>
  </si>
  <si>
    <r>
      <t xml:space="preserve">Sarawak Plantations Group (2018, April), </t>
    </r>
    <r>
      <rPr>
        <i/>
        <sz val="11"/>
        <color theme="1"/>
        <rFont val="Calibri"/>
        <family val="2"/>
        <scheme val="minor"/>
      </rPr>
      <t>Annual Report 2017</t>
    </r>
    <r>
      <rPr>
        <sz val="11"/>
        <color theme="1"/>
        <rFont val="Calibri"/>
        <family val="2"/>
        <scheme val="minor"/>
      </rPr>
      <t>, p. 6.</t>
    </r>
  </si>
  <si>
    <t>Sarawak Plantation Bhd</t>
  </si>
  <si>
    <t xml:space="preserve">Segment assets. Sarawak Plantations Group has three reportable operating segments: Investment Holding, Oil Palm Operations, and Management Services and Rentals. The segments Investment Holding, Oil Palm Operations were used to calculate the adjuster.
</t>
  </si>
  <si>
    <r>
      <t xml:space="preserve">Sarawak Plantations Group (2017, February), </t>
    </r>
    <r>
      <rPr>
        <i/>
        <sz val="11"/>
        <color theme="1"/>
        <rFont val="Calibri"/>
        <family val="2"/>
        <scheme val="minor"/>
      </rPr>
      <t>Interim Report for 4th Quarter Ended 31 December 2016</t>
    </r>
    <r>
      <rPr>
        <sz val="11"/>
        <color theme="1"/>
        <rFont val="Calibri"/>
        <family val="2"/>
        <scheme val="minor"/>
      </rPr>
      <t>, p. 17.</t>
    </r>
  </si>
  <si>
    <r>
      <t xml:space="preserve">Sarawak Plantations Group (2019, April), </t>
    </r>
    <r>
      <rPr>
        <i/>
        <sz val="11"/>
        <color theme="1"/>
        <rFont val="Calibri"/>
        <family val="2"/>
        <scheme val="minor"/>
      </rPr>
      <t>Annual Report 2018</t>
    </r>
    <r>
      <rPr>
        <sz val="11"/>
        <color theme="1"/>
        <rFont val="Calibri"/>
        <family val="2"/>
        <scheme val="minor"/>
      </rPr>
      <t>, p. 155, 157.</t>
    </r>
  </si>
  <si>
    <t>Telliana Plantations</t>
  </si>
  <si>
    <t>Shin Yang Holding</t>
  </si>
  <si>
    <t>Linau Mewah</t>
  </si>
  <si>
    <t>"Linau Mewah Sdn Bhd is a privately-owned company covering businesses in oil palm plantation"</t>
  </si>
  <si>
    <t>Shin Yang (n.d.), "Oil palm plantation", online: https://www.shinyang.com.my/products-services/oil-palm-plantation.html, viewed in September 2019.</t>
  </si>
  <si>
    <t>Rough estimate. The holding company has 11 products and service segments. Including Oil Palm Plantation, Tree Plantation, Forest Management Unit, and Wood Products. The palm oil adjuster is based on the Oil Palm Plantation segment, the pulp &amp; paper adjuster is based the Tree Plantation segment, and the timber adjuster is based on the Forest Management Unit and Wood Products segments.</t>
  </si>
  <si>
    <t>Shin Yang (n.d.), "Home", online: https://www.shinyang.com.my/, viewed in September 2019.</t>
  </si>
  <si>
    <t>Sime Darby</t>
  </si>
  <si>
    <t>Kumpulan Sime Darby Bhd</t>
  </si>
  <si>
    <t>Segment capital expenditures and additions to interest in JVs and associates. Sime Darby has five reportable operating segments: Plantation, Industrial, Motors, Property, Energy &amp; Utilities, and Other. Plantation includes rubber &amp; palm, proportions based on planted area as the only differentiator. Kumpulan Sime Darby is an investment holding company.</t>
  </si>
  <si>
    <r>
      <t xml:space="preserve">Sime Darby (2012, October), </t>
    </r>
    <r>
      <rPr>
        <i/>
        <sz val="11"/>
        <rFont val="Calibri"/>
        <family val="2"/>
        <scheme val="minor"/>
      </rPr>
      <t>Annual Report 2012: A World of Infinite Possibilities</t>
    </r>
    <r>
      <rPr>
        <sz val="11"/>
        <rFont val="Calibri"/>
        <family val="2"/>
        <scheme val="minor"/>
      </rPr>
      <t>, p. 90, 254-255.</t>
    </r>
  </si>
  <si>
    <r>
      <t xml:space="preserve">Sime Darby (2016, October), </t>
    </r>
    <r>
      <rPr>
        <i/>
        <sz val="11"/>
        <color theme="1"/>
        <rFont val="Calibri"/>
        <family val="2"/>
        <scheme val="minor"/>
      </rPr>
      <t>Annual Report 2016: Innovating for the Future</t>
    </r>
    <r>
      <rPr>
        <sz val="11"/>
        <color theme="1"/>
        <rFont val="Calibri"/>
        <family val="2"/>
        <scheme val="minor"/>
      </rPr>
      <t>, p. 79, 290-291.</t>
    </r>
  </si>
  <si>
    <t>Sime Darby Bhd</t>
  </si>
  <si>
    <t>New Britain Palm Oil Ltd</t>
  </si>
  <si>
    <t>Proportion of planted area palm oil as total of all land (sugar, cattle grazing and palm oil).</t>
  </si>
  <si>
    <t>New Britain Palm Oil (n.d.), "About us", online: http://www.nbpol.com.pg/?page_id=259, viewed in March 2017.</t>
  </si>
  <si>
    <t>SIME DARBY BERHAD</t>
  </si>
  <si>
    <t>Segment capital expenditures and additions to interest in JVs and associates. Sime Darby has five reportable operating segments: Plantation, Industrial, Motors, Property, Energy &amp; Utilities, and Other. Plantation includes rubber &amp; palm, proportions based on planted area as the only differentiator.</t>
  </si>
  <si>
    <t>Plantation segment completely off the SD books as November 2018.</t>
  </si>
  <si>
    <r>
      <t xml:space="preserve">Sime Darby (2016, October), </t>
    </r>
    <r>
      <rPr>
        <i/>
        <sz val="11"/>
        <color theme="1"/>
        <rFont val="Calibri"/>
        <family val="2"/>
        <scheme val="minor"/>
      </rPr>
      <t>Annual Report 2016: Innovating for the Future</t>
    </r>
    <r>
      <rPr>
        <sz val="11"/>
        <color theme="1"/>
        <rFont val="Calibri"/>
        <family val="2"/>
        <scheme val="minor"/>
      </rPr>
      <t>, p. 79, 290-292.</t>
    </r>
  </si>
  <si>
    <t>SIME DARBY BHD NEW</t>
  </si>
  <si>
    <t>Sime Darby Global Bhd</t>
  </si>
  <si>
    <t>Special purpose vehicle for the issue of multicurrency Islamic securities programme. For financing vehicles group level adjusters are used. Segment capital expenditures and additions to interest in JVs and associates. Sime Darby has five reportable operating segments: Plantation, Industrial, Motors, Property, Energy &amp; Utilities, and Other. Plantation includes rubber &amp; palm, proportions based on planted area as the only differentiator.</t>
  </si>
  <si>
    <r>
      <t xml:space="preserve">Sime Darby (2014, October), </t>
    </r>
    <r>
      <rPr>
        <i/>
        <sz val="11"/>
        <rFont val="Calibri"/>
        <family val="2"/>
        <scheme val="minor"/>
      </rPr>
      <t>Annual Report 2014</t>
    </r>
    <r>
      <rPr>
        <sz val="11"/>
        <rFont val="Calibri"/>
        <family val="2"/>
        <scheme val="minor"/>
      </rPr>
      <t>, p. 120, 299, 358.</t>
    </r>
  </si>
  <si>
    <t>Sime Darby Plantation Bhd</t>
  </si>
  <si>
    <t>Planted area. Sime Darby Plantations has 6 reportable operating segments: Upstream Malaysia; Upstream Indonesia; Upstream PNG and Solomon Islands; Upstream Liberia; Downstream, and; Other Operations. As these don't disaggregate by commodities, planted area is used as proxy.</t>
  </si>
  <si>
    <t>Sime Darby Plantations (2017, June), "Operational Statistics", online: http://www.simedarbyplantation.com/investor-relations/operational-statistics, viewed in August 2018.</t>
  </si>
  <si>
    <r>
      <t xml:space="preserve">Sime Darby Plantations (2018, Annual Report), </t>
    </r>
    <r>
      <rPr>
        <i/>
        <sz val="11"/>
        <color theme="1"/>
        <rFont val="Calibri"/>
        <family val="2"/>
        <scheme val="minor"/>
      </rPr>
      <t>Unlocking Value, Rise to Apex: Annual Report 2018</t>
    </r>
    <r>
      <rPr>
        <sz val="11"/>
        <color theme="1"/>
        <rFont val="Calibri"/>
        <family val="2"/>
        <scheme val="minor"/>
      </rPr>
      <t>, p. 51.</t>
    </r>
  </si>
  <si>
    <t>SIME DARBY PLANTATION BHD</t>
  </si>
  <si>
    <t>Sime Darby Plantation Sdn Bhd</t>
  </si>
  <si>
    <t>Proportion of planted area palm oil vs rubber as this is the plantation subsidiary which engages primarily in these two commodity chains.</t>
  </si>
  <si>
    <r>
      <t xml:space="preserve">Sime Darby (2014, October), </t>
    </r>
    <r>
      <rPr>
        <i/>
        <sz val="11"/>
        <color theme="1"/>
        <rFont val="Calibri"/>
        <family val="2"/>
        <scheme val="minor"/>
      </rPr>
      <t>Annual Report 2014</t>
    </r>
    <r>
      <rPr>
        <sz val="11"/>
        <color theme="1"/>
        <rFont val="Calibri"/>
        <family val="2"/>
        <scheme val="minor"/>
      </rPr>
      <t>, p. 120.</t>
    </r>
  </si>
  <si>
    <t>SIME DARBY PLANTATIONS S</t>
  </si>
  <si>
    <t>Sinar Mas Group</t>
  </si>
  <si>
    <t>APP China Group Ltd (Asia Pulp &amp; Paper Co Ltd)</t>
  </si>
  <si>
    <t>APP China 100% engaged in pulp &amp; paper industry with plantations, mills, processing- and production plants.</t>
  </si>
  <si>
    <t>Asia Pulp &amp; Paper (2012, August), "APP Honored for Sustainable Breakthroughs in China", online: https://www.asiapulppaper.com/it/node/244, viewed in April 2017.</t>
  </si>
  <si>
    <t>Sinar Mas Paper China Investme</t>
  </si>
  <si>
    <t>GOLD EAST PAPER LTD</t>
  </si>
  <si>
    <t>Gold East Trading(Hong Kong)Co</t>
  </si>
  <si>
    <t>GOLD HONGYE PAPER</t>
  </si>
  <si>
    <t>Paper subsidiary.</t>
  </si>
  <si>
    <t>Gold HongYe Paper Group Co Ltd</t>
  </si>
  <si>
    <t>GOLD HONGYE PAPER GROUP CO. LTD.</t>
  </si>
  <si>
    <t>Golden Agri-Resources</t>
  </si>
  <si>
    <t xml:space="preserve">Golden Assets International Finance is a finance subsidiary, therefore group level adjuster is applied. Golden Agri-Resources has four reportable operating segments: Plantation and Palm Oil Mills; Palm and Laurics; Oilseeds, and; Others. All segments in fact refer to different stages of a fully-integrated palm oil supply chain. </t>
  </si>
  <si>
    <r>
      <t xml:space="preserve">Golden Agri-Resources (2017, March), </t>
    </r>
    <r>
      <rPr>
        <i/>
        <sz val="11"/>
        <color theme="1"/>
        <rFont val="Calibri"/>
        <family val="2"/>
        <scheme val="minor"/>
      </rPr>
      <t>Annual Report 2016: Driving Change, Delivering Value</t>
    </r>
    <r>
      <rPr>
        <sz val="11"/>
        <color theme="1"/>
        <rFont val="Calibri"/>
        <family val="2"/>
        <scheme val="minor"/>
      </rPr>
      <t>, p. 130.</t>
    </r>
  </si>
  <si>
    <t xml:space="preserve">Golden Agri-Resources has four reportable operating segments: Plantation and Palm Oil Mills; Palm and Laurics; Oilseeds, and; Others. All segments in fact refer to different stages of a fully-integrated palm oil supply chain. </t>
  </si>
  <si>
    <t>Golden Agri-Resources Ltd</t>
  </si>
  <si>
    <t>GOLDEN AGRI-RESOURCES LTD</t>
  </si>
  <si>
    <t>Sinar Mas Group PT</t>
  </si>
  <si>
    <t>GOLDEN ASSET INTL INV</t>
  </si>
  <si>
    <t xml:space="preserve">Golden Assets International Investment is a finance subsidiary, therefore group level adjuster is applied. Golden Agri-Resources has four reportable operating segments: Plantation and Palm Oil Mills; Palm and Laurics; Oilseeds, and; Others. All segments in fact refer to different stages of a fully-integrated palm oil supply chain. </t>
  </si>
  <si>
    <t xml:space="preserve">GAR financing vehicle. Golden Agri-Resources has four reportable operating segments: Plantation and Palm Oil Mills; Palm and Laurics; Oilseeds, and; Others. All segments in fact refer to different stages of a fully-integrated palm oil supply chain. </t>
  </si>
  <si>
    <t>Golden Assets International Finance Ltd</t>
  </si>
  <si>
    <t>GOLDEN ASSETS INTERNATIONAL FINANCE LTD</t>
  </si>
  <si>
    <t>Golden Assets International Investment Pte Ltd</t>
  </si>
  <si>
    <t>Golden Century Paper Co Ltd</t>
  </si>
  <si>
    <t>Guangxi Jingui Pulp &amp; Paper Co Ltd</t>
  </si>
  <si>
    <t>Hainan Jinhai Pulp &amp; Paper Co</t>
  </si>
  <si>
    <t>Indah Kiat Pulp &amp; Paper Tbk PT</t>
  </si>
  <si>
    <t>Indah Kiat Pulp &amp; Paper</t>
  </si>
  <si>
    <t>"The company operates in two (2) business segments i.e. paper &amp; pulp products and packaging products" - Therefore, 100% pulp &amp; paper.</t>
  </si>
  <si>
    <r>
      <t xml:space="preserve">Indah Kiat (2017, March), </t>
    </r>
    <r>
      <rPr>
        <i/>
        <sz val="11"/>
        <color theme="1"/>
        <rFont val="Calibri"/>
        <family val="2"/>
        <scheme val="minor"/>
      </rPr>
      <t>Consolidated Financial Statements with Independent Auditor's Report for the Years Ended December 31, 2016 and 2015</t>
    </r>
    <r>
      <rPr>
        <sz val="11"/>
        <color theme="1"/>
        <rFont val="Calibri"/>
        <family val="2"/>
        <scheme val="minor"/>
      </rPr>
      <t>, p. 88.</t>
    </r>
  </si>
  <si>
    <t>INDAH KIAT PULP &amp; PAPER</t>
  </si>
  <si>
    <t>INDAH KIAT PULP &amp; PAPER TBK</t>
  </si>
  <si>
    <t>Indah Kiat Pulp and Paper</t>
  </si>
  <si>
    <t>IVO MAS TUNGGAL PT</t>
  </si>
  <si>
    <t>"Investment holding, oil palm cultivation and palm oil producer"</t>
  </si>
  <si>
    <r>
      <t xml:space="preserve">Golden Agri-Resources (2017, March), </t>
    </r>
    <r>
      <rPr>
        <i/>
        <sz val="11"/>
        <color theme="1"/>
        <rFont val="Calibri"/>
        <family val="2"/>
        <scheme val="minor"/>
      </rPr>
      <t>Annual Report 2016: Driving Change, Delivering Value</t>
    </r>
    <r>
      <rPr>
        <sz val="11"/>
        <color theme="1"/>
        <rFont val="Calibri"/>
        <family val="2"/>
        <scheme val="minor"/>
      </rPr>
      <t>, p. 145.</t>
    </r>
  </si>
  <si>
    <t>JINHAI PAPER&amp;PULP IND</t>
  </si>
  <si>
    <t>Lontyar Papyrus</t>
  </si>
  <si>
    <t>"PT. Lontar Papyrus Pulp &amp; Paper Industry ("Lontar Papyrus") is located at two sites on the island of Sumatra, Indonesia.
The first site, located in Nanggroe Aceh Darussalam, commenced commercial production in 1976. Its main product is uncoated freesheet. The second site, located in Jambi, South Sumatra, started commercial production in December 1994 and produces pulp. In addition, Lontar PM#1 commenced commercial production in October 1998 at the Jambi site producing tissue paper.
The Jambi Mill facility also produces elemental chlorine-free pulp. The mill complex includes a wastewater treatment plant, a caustic soda plant and a co-generation facility."</t>
  </si>
  <si>
    <t>Asia Pulp &amp; Paper (n.d.), "Other", online: https://asiapulppaper.com/office/pt-lontar-papyrus-pulp-paper-industry, viewed in September 2019.</t>
  </si>
  <si>
    <t>Ningbo Asia Paper Co Ltd</t>
  </si>
  <si>
    <t>NINGBO ASIA PULP &amp; PAPER CO. LTD.</t>
  </si>
  <si>
    <t>NINGBO ASIA PULP PAPER</t>
  </si>
  <si>
    <t>Pabrik Kertas Tjiwi Kimia Tbk PT</t>
  </si>
  <si>
    <t>Pabrik Kertas Tjiwi Kimia</t>
  </si>
  <si>
    <t>"The company operates in two (2) business segments i.e. paper products and packaging products" - Therefore, 100% pulp &amp; paper.</t>
  </si>
  <si>
    <r>
      <t xml:space="preserve">Tjiwi Kimia (2017, March), </t>
    </r>
    <r>
      <rPr>
        <i/>
        <sz val="11"/>
        <color theme="1"/>
        <rFont val="Calibri"/>
        <family val="2"/>
        <scheme val="minor"/>
      </rPr>
      <t>Consolidated Financial Statements with Independent Auditor's Report for the Years Ended December 31, 2016 and 2015</t>
    </r>
    <r>
      <rPr>
        <sz val="11"/>
        <color theme="1"/>
        <rFont val="Calibri"/>
        <family val="2"/>
        <scheme val="minor"/>
      </rPr>
      <t>, p. 89.</t>
    </r>
  </si>
  <si>
    <t>PABRIK KERTAS TJIWI KIMIA PT</t>
  </si>
  <si>
    <t>PT PABRIK KERTAS TJIWI</t>
  </si>
  <si>
    <t>PT PABRIK KERTAS TJIWI KIMIA TBK</t>
  </si>
  <si>
    <t>SINAR MAS AGRO RESOURCES</t>
  </si>
  <si>
    <t xml:space="preserve">Sinar Mas Agro Resouces Technology has two reportable operating segments: Integrated food consumer products &amp; trading activities and plantations. Both of these segments in fact refer to different stages of a fully-integrated palm oil supply chain. </t>
  </si>
  <si>
    <r>
      <t xml:space="preserve">Sinar Mas Agro Resources Technology (2016, July), </t>
    </r>
    <r>
      <rPr>
        <i/>
        <sz val="11"/>
        <color theme="1"/>
        <rFont val="Calibri"/>
        <family val="2"/>
        <scheme val="minor"/>
      </rPr>
      <t>Consolidated Financial Statements As of June 30, 2016 and December 31, 2015 and for the Six-Month Periods Ended June 30, 2016 and 2015</t>
    </r>
    <r>
      <rPr>
        <sz val="11"/>
        <color theme="1"/>
        <rFont val="Calibri"/>
        <family val="2"/>
        <scheme val="minor"/>
      </rPr>
      <t>, p. 105.</t>
    </r>
  </si>
  <si>
    <t>Sinar Mas Agro Resources &amp; Technology Corp Tbk PT</t>
  </si>
  <si>
    <t>Sinar Mas Agro Resources and Technology</t>
  </si>
  <si>
    <t>Sinar Mas Agro Resources and Technology Tbk PT</t>
  </si>
  <si>
    <t>Sinar Mas Paper (China) Investment Co Ltd</t>
  </si>
  <si>
    <t>SINAR MAS PAPER (CHINA) INVESTMENT CO. LTD.</t>
  </si>
  <si>
    <t>SINAR MAS PAPER CH</t>
  </si>
  <si>
    <t>Sinar Mas Paper(China) Investment Co Ltd</t>
  </si>
  <si>
    <t>SINARMAS CEPSA PTE LTD</t>
  </si>
  <si>
    <t>JV between GAR and CESPA</t>
  </si>
  <si>
    <t>http://sinarmascepsa.com/our-company/</t>
  </si>
  <si>
    <t>SOCI MAS</t>
  </si>
  <si>
    <t>Sumalindo Hutani Jaya</t>
  </si>
  <si>
    <t>Sinochem Group</t>
  </si>
  <si>
    <t>Far Eastern Hong Xin Co Ltd</t>
  </si>
  <si>
    <t>Far Eastern Hong Xin is a financing vehicle. Therefore, group level adjusters are used. Segment liabilities. Sinochem International has four reportable operating segments: Rubber; Logistics; Distrubution &amp; Trade, and; Agricultural Chemicals. The rubber adjuster is based on the Rubber segment.</t>
  </si>
  <si>
    <r>
      <t xml:space="preserve">Sinochem International (2012, March), </t>
    </r>
    <r>
      <rPr>
        <i/>
        <sz val="11"/>
        <color theme="1"/>
        <rFont val="Calibri"/>
        <family val="2"/>
        <scheme val="minor"/>
      </rPr>
      <t>2011 Annual Report</t>
    </r>
    <r>
      <rPr>
        <sz val="11"/>
        <color theme="1"/>
        <rFont val="Calibri"/>
        <family val="2"/>
        <scheme val="minor"/>
      </rPr>
      <t>, p. 208, 210.</t>
    </r>
  </si>
  <si>
    <t>GMG Global Ltd</t>
  </si>
  <si>
    <t>"GMG is an integrated natural rubber company engaged in the upstream and downstream aspects of the entire natural rubber value chain".</t>
  </si>
  <si>
    <t>GMG Global (n.d.), "Our Business", online: http://www.gmg.sg/business_divisions.html, viewed in April 2017.</t>
  </si>
  <si>
    <t>HAC</t>
  </si>
  <si>
    <t>Halcyon Agri has four reportable operating segments: Plantation Segment; Processing Segment; Distribution Segment, and; Corporate Segment. However, all relate to rubber, therefore the rubber adjuster is set at 100%.</t>
  </si>
  <si>
    <r>
      <t xml:space="preserve">Halcyon Agri (2017, February), </t>
    </r>
    <r>
      <rPr>
        <i/>
        <sz val="11"/>
        <color theme="1"/>
        <rFont val="Calibri"/>
        <family val="2"/>
        <scheme val="minor"/>
      </rPr>
      <t xml:space="preserve">Unaudited Financial Statement for the Financial Year Ended 31 December 2016, </t>
    </r>
    <r>
      <rPr>
        <sz val="11"/>
        <color theme="1"/>
        <rFont val="Calibri"/>
        <family val="2"/>
        <scheme val="minor"/>
      </rPr>
      <t>p. 18.</t>
    </r>
  </si>
  <si>
    <t>HALCYON AGRI CO LTD</t>
  </si>
  <si>
    <t>Halcyon Agri Corp Ltd</t>
  </si>
  <si>
    <t>HALCYON Agri Corp Ltd</t>
  </si>
  <si>
    <t>Halcyon Agri</t>
  </si>
  <si>
    <t>Halcyon Agri Corporation Ltd</t>
  </si>
  <si>
    <t>Halcyon agri</t>
  </si>
  <si>
    <t>Halcyon Agri Indonesia</t>
  </si>
  <si>
    <t>Halcyon Agri Resources</t>
  </si>
  <si>
    <t>Halcyon Rubber Co Pte Ltd</t>
  </si>
  <si>
    <t>Halcyon Rubber is an investment holding company, therefore group level adjuster is applied. Halcyon Agri has four reportable operating segments: Plantation Segment; Processing Segment; Distribution Segment, and; Corporate Segment. However, all relate to rubber, therefore the rubber adjuster is set at 100%.</t>
  </si>
  <si>
    <r>
      <t xml:space="preserve">Halcyon Agri (2016, April), </t>
    </r>
    <r>
      <rPr>
        <i/>
        <sz val="11"/>
        <color theme="1"/>
        <rFont val="Calibri"/>
        <family val="2"/>
        <scheme val="minor"/>
      </rPr>
      <t>Annual Report 2015: Global Integration</t>
    </r>
    <r>
      <rPr>
        <sz val="11"/>
        <color theme="1"/>
        <rFont val="Calibri"/>
        <family val="2"/>
        <scheme val="minor"/>
      </rPr>
      <t>, p. 87.</t>
    </r>
  </si>
  <si>
    <t>Hevea Global Pte Ltd</t>
  </si>
  <si>
    <t>Hevea Global is a natural rubber trading subsidiary. Halcyon Agri has four reportable operating segments: Plantation Segment; Processing Segment; Distribution Segment, and; Corporate Segment. However, all relate to rubber, therefore the rubber adjuster is set at 100%.</t>
  </si>
  <si>
    <t>Sinochem Corp</t>
  </si>
  <si>
    <t>Sinochem Corp is a state-owned enterprise for which there is very little relevant financial information available. Sinochem International is the major stock-listed subsidiaries whose activities most closely reflect that of the parent company. Therefore, Sinochem Internationl figures are used. Segment liabilities. Sinochem International has four reportable operating segments: Rubber; Logistics; Distrubution &amp; Trade, and; Agricultural Chemicals. The rubber adjuster is based on the Rubber segment.</t>
  </si>
  <si>
    <r>
      <t xml:space="preserve">Sinochem International (2012, March), </t>
    </r>
    <r>
      <rPr>
        <i/>
        <sz val="11"/>
        <color theme="1"/>
        <rFont val="Calibri"/>
        <family val="2"/>
        <scheme val="minor"/>
      </rPr>
      <t>2011 Annual Report</t>
    </r>
    <r>
      <rPr>
        <sz val="11"/>
        <color theme="1"/>
        <rFont val="Calibri"/>
        <family val="2"/>
        <scheme val="minor"/>
      </rPr>
      <t>, p. 208-209.</t>
    </r>
  </si>
  <si>
    <t>Sinochem Corp is a state-owned enterprise for which there is very little relevant financial information available. Sinochem International is the major stock-listed subsidiaries whose activities most closely reflect that of the parent company. Therefore, Sinochem Internationl figures are used. Segment liabilities. Sinochem International has five reportable operating segments: Rubber; Logistics; Distrubution &amp; Trade; Agricultural Chemicals, and; Others. The rubber adjuster is based on the Rubber segment.</t>
  </si>
  <si>
    <r>
      <t xml:space="preserve">Sinochem International (2014, April), </t>
    </r>
    <r>
      <rPr>
        <i/>
        <sz val="11"/>
        <color theme="1"/>
        <rFont val="Calibri"/>
        <family val="2"/>
        <scheme val="minor"/>
      </rPr>
      <t>2013 Annual Report</t>
    </r>
    <r>
      <rPr>
        <sz val="11"/>
        <color theme="1"/>
        <rFont val="Calibri"/>
        <family val="2"/>
        <scheme val="minor"/>
      </rPr>
      <t>, p. 223, 225.</t>
    </r>
  </si>
  <si>
    <t>Sinochem Corp is a state-owned enterprise for which there is very little relevant financial information available. Sinochem International is the major stock-listed subsidiaries whose activities most closely reflect that of the parent company. Therefore, Sinochem Internationl figures are used. Segment liabilities. Sinochem International has seven reportable operating segments: Natural Rubber; Rubber Chemicals; Chemical Logistics; Distrubution &amp; Trade; Agricultural Chemicals; Chemical Intermediates &amp; New Materials, and; Others. The rubber adjuster is based on the Natural Rubber segment.</t>
  </si>
  <si>
    <r>
      <t xml:space="preserve">Sinochem International (2016, April), </t>
    </r>
    <r>
      <rPr>
        <i/>
        <sz val="11"/>
        <color theme="1"/>
        <rFont val="Calibri"/>
        <family val="2"/>
        <scheme val="minor"/>
      </rPr>
      <t>2015 Annual Report</t>
    </r>
    <r>
      <rPr>
        <sz val="11"/>
        <color theme="1"/>
        <rFont val="Calibri"/>
        <family val="2"/>
        <scheme val="minor"/>
      </rPr>
      <t>, p. 233, 236.</t>
    </r>
  </si>
  <si>
    <r>
      <t xml:space="preserve">Sinochem International (2016, April), </t>
    </r>
    <r>
      <rPr>
        <i/>
        <sz val="11"/>
        <color theme="1"/>
        <rFont val="Calibri"/>
        <family val="2"/>
        <scheme val="minor"/>
      </rPr>
      <t>2015 Annual Report</t>
    </r>
    <r>
      <rPr>
        <sz val="11"/>
        <color theme="1"/>
        <rFont val="Calibri"/>
        <family val="2"/>
        <scheme val="minor"/>
      </rPr>
      <t>, p. 233, 235.</t>
    </r>
  </si>
  <si>
    <t>Sinochem Corp is a state-owned enterprise for which there is very little relevant financial information available. Sinochem International is the major stock-listed subsidiaries whose activities most closely reflect that of the parent company. Therefore, Sinochem Internationl figures are used. Segment assets. Sinochem International has seven reportable operating segments: Natural Rubber; Rubber Chemicals; Chemical Logistics; Distrubution &amp; Trade; Agricultural Chemicals; Chemical Intermediates &amp; New Materials, and; Others. The rubber adjuster is based on the Natural Rubber segment.</t>
  </si>
  <si>
    <r>
      <t xml:space="preserve">Sinochem International (2017, April), </t>
    </r>
    <r>
      <rPr>
        <i/>
        <sz val="11"/>
        <color theme="1"/>
        <rFont val="Calibri"/>
        <family val="2"/>
        <scheme val="minor"/>
      </rPr>
      <t>2016 Annual Report</t>
    </r>
    <r>
      <rPr>
        <sz val="11"/>
        <color theme="1"/>
        <rFont val="Calibri"/>
        <family val="2"/>
        <scheme val="minor"/>
      </rPr>
      <t>, p. 248.</t>
    </r>
  </si>
  <si>
    <r>
      <t xml:space="preserve">Sinochem International (2018, May), </t>
    </r>
    <r>
      <rPr>
        <i/>
        <sz val="11"/>
        <color theme="1"/>
        <rFont val="Calibri"/>
        <family val="2"/>
        <scheme val="minor"/>
      </rPr>
      <t>2017 Annual Report</t>
    </r>
    <r>
      <rPr>
        <sz val="11"/>
        <color theme="1"/>
        <rFont val="Calibri"/>
        <family val="2"/>
        <scheme val="minor"/>
      </rPr>
      <t>, p. 229.</t>
    </r>
  </si>
  <si>
    <r>
      <t xml:space="preserve">Sinochem International (2019, April), </t>
    </r>
    <r>
      <rPr>
        <i/>
        <sz val="11"/>
        <color theme="1"/>
        <rFont val="Calibri"/>
        <family val="2"/>
        <scheme val="minor"/>
      </rPr>
      <t>2018 Annual Report</t>
    </r>
    <r>
      <rPr>
        <sz val="11"/>
        <color theme="1"/>
        <rFont val="Calibri"/>
        <family val="2"/>
        <scheme val="minor"/>
      </rPr>
      <t>, p. 203.</t>
    </r>
  </si>
  <si>
    <t>SINOCHEM CORP</t>
  </si>
  <si>
    <t>SINOCHEM CORP, BEIJING</t>
  </si>
  <si>
    <t>Sinochem CP Co Ltd</t>
  </si>
  <si>
    <t>SINOCHEM GLOBAL CAP CO LTD</t>
  </si>
  <si>
    <t>SINOCHEM GLOBAL CAPITAL CO LTD</t>
  </si>
  <si>
    <t>Financing subsidiary, group level adjuster applied. Sinochem Corp is a state-owned enterprise for which there is very little relevant financial information available. Sinochem International is the major stock-listed subsidiaries whose activities most closely reflect that of the parent company. Therefore, Sinochem Internationl figures are used. Segment liabilities. Sinochem International has seven reportable operating segments: Natural Rubber; Rubber Chemicals; Chemical Logistics; Distrubution &amp; Trade; Agricultural Chemicals; Chemical Intermediates &amp; New Materials, and; Others. The rubber adjuster is based on the Natural Rubber segment.</t>
  </si>
  <si>
    <t>Segment liabilities. Sinochem International has four reportable operating segments: Rubber; Logistics; Distrubution &amp; Trade, and; Agricultural Chemicals. The rubber adjuster is based on the Rubber segment.</t>
  </si>
  <si>
    <t>Segment liabilities. Sinochem International has five reportable operating segments: Rubber; Logistics; Distrubution &amp; Trade; Agricultural Chemicals, and; Others. The rubber adjuster is based on the Rubber segment.</t>
  </si>
  <si>
    <r>
      <t xml:space="preserve">Sinochem International (2014, April), </t>
    </r>
    <r>
      <rPr>
        <i/>
        <sz val="11"/>
        <color theme="1"/>
        <rFont val="Calibri"/>
        <family val="2"/>
        <scheme val="minor"/>
      </rPr>
      <t>2013 Annual Report</t>
    </r>
    <r>
      <rPr>
        <sz val="11"/>
        <color theme="1"/>
        <rFont val="Calibri"/>
        <family val="2"/>
        <scheme val="minor"/>
      </rPr>
      <t>, p. 223-224.</t>
    </r>
  </si>
  <si>
    <t>Sinochem Hong Kong (Group) Co Ltd</t>
  </si>
  <si>
    <t>Sinochem Hong Kong (Grp) Co</t>
  </si>
  <si>
    <t>Segment liabilities. Sinochem International has seven reportable operating segments: Natural Rubber; Rubber Chemicals; Chemical Logistics; Distrubution &amp; Trade; Agricultural Chemicals; Chemical Intermediates &amp; New Materials, and; Others. The rubber adjuster is based on the Natural Rubber segment.</t>
  </si>
  <si>
    <t>Sinochem Hong Kong(Group)Co</t>
  </si>
  <si>
    <t>SINOCHEM INT DEV PTE LTD</t>
  </si>
  <si>
    <t>SINOCHEM INTERNATIONAL</t>
  </si>
  <si>
    <t>SINOCHEM INTERNATIONAL CO LTD</t>
  </si>
  <si>
    <t>Sinochem International Corp</t>
  </si>
  <si>
    <t>Sinochem International Development Pte Ltd</t>
  </si>
  <si>
    <t>SINOCHEM INTERNATIONAL DEVELOPMENT PTE. LTD.</t>
  </si>
  <si>
    <t>SINOCHEM INTERNATIONAL OVER</t>
  </si>
  <si>
    <t>Sinochem International(Holdings)Co Ltd</t>
  </si>
  <si>
    <t>Sinochem Intl (Overseas) Pte</t>
  </si>
  <si>
    <t>Sinochem Intl(Overseas)Pte Ltd</t>
  </si>
  <si>
    <t>Sinochem Offshore Capital Co Ltd</t>
  </si>
  <si>
    <t>Sinochem Offshore Capital is a financing vehicle. Therefore, group level adjusters are used. Segment liabilities. Sinochem International has four reportable operating segments: Rubber; Logistics; Distrubution &amp; Trade, and; Agricultural Chemicals. The rubber adjuster is based on the Rubber segment.</t>
  </si>
  <si>
    <t>Sinochem Offshore Capital is a financing vehicle. Therefore, group level adjusters are used. Segment liabilities. Sinochem International has seven reportable operating segments: Natural Rubber; Rubber Chemicals; Chemical Logistics; Distrubution &amp; Trade; Agricultural Chemicals; Chemical Intermediates &amp; New Materials, and; Others. The rubber adjuster is based on the Natural Rubber segment.</t>
  </si>
  <si>
    <t>SINOCHEM OFFSHORE CAPITAL CO LTD</t>
  </si>
  <si>
    <t>SINOCHEM OVERSEAS CAP CO LTD</t>
  </si>
  <si>
    <t>Sinochem Overseas Capital Co</t>
  </si>
  <si>
    <t>Sinochem Overseas Capital is a financing vehicle. Therefore, group level adjusters are used. Segment liabilities. Sinochem International has four reportable operating segments: Rubber; Logistics; Distrubution &amp; Trade, and; Agricultural Chemicals. The rubber adjuster is based on the Rubber segment.</t>
  </si>
  <si>
    <t>SINOCHEM OVERSEAS CAPITAL COMPANY LTD</t>
  </si>
  <si>
    <t>Sinochem Overseas Capital is a financing vehicle. Therefore, group level adjusters are used. Segment liabilities. Sinochem International has five reportable operating segments: Rubber; Logistics; Distrubution &amp; Trade; Agricultural Chemicals, and; Others. The rubber adjuster is based on the Rubber segment.</t>
  </si>
  <si>
    <t>Sinochem Overseas Capital is a financing vehicle. Therefore, group level adjusters are used. Segment liabilities. Sinochem International has seven reportable operating segments: Natural Rubber; Rubber Chemicals; Chemical Logistics; Distrubution &amp; Trade; Agricultural Chemicals; Chemical Intermediates &amp; New Materials, and; Others. The rubber adjuster is based on the Natural Rubber segment.</t>
  </si>
  <si>
    <t>Sipef</t>
  </si>
  <si>
    <t>Sipef NV</t>
  </si>
  <si>
    <t>Segment revenue. SIPEF has five reportable operating segments: Palm; Rubber; Tea; Bananas &amp; Flowers, and; Other. The palm oil adjuster is based on the Palm segment. The rubber adjuster is based on the Rubber segment.</t>
  </si>
  <si>
    <r>
      <t xml:space="preserve">SIPEF (2017, April), </t>
    </r>
    <r>
      <rPr>
        <i/>
        <sz val="11"/>
        <color theme="1"/>
        <rFont val="Calibri"/>
        <family val="2"/>
        <scheme val="minor"/>
      </rPr>
      <t>Annual Report 2016</t>
    </r>
    <r>
      <rPr>
        <sz val="11"/>
        <color theme="1"/>
        <rFont val="Calibri"/>
        <family val="2"/>
        <scheme val="minor"/>
      </rPr>
      <t>, p. 103, 105.</t>
    </r>
  </si>
  <si>
    <r>
      <t xml:space="preserve">SIPEF (2018, April), </t>
    </r>
    <r>
      <rPr>
        <i/>
        <sz val="11"/>
        <color theme="1"/>
        <rFont val="Calibri"/>
        <family val="2"/>
        <scheme val="minor"/>
      </rPr>
      <t>Annual Report 2017</t>
    </r>
    <r>
      <rPr>
        <sz val="11"/>
        <color theme="1"/>
        <rFont val="Calibri"/>
        <family val="2"/>
        <scheme val="minor"/>
      </rPr>
      <t>, p. 133.</t>
    </r>
  </si>
  <si>
    <r>
      <t xml:space="preserve">SIPEF (2019, April), </t>
    </r>
    <r>
      <rPr>
        <i/>
        <sz val="11"/>
        <color theme="1"/>
        <rFont val="Calibri"/>
        <family val="2"/>
        <scheme val="minor"/>
      </rPr>
      <t>Annual Report 2018</t>
    </r>
    <r>
      <rPr>
        <sz val="11"/>
        <color theme="1"/>
        <rFont val="Calibri"/>
        <family val="2"/>
        <scheme val="minor"/>
      </rPr>
      <t>, p. 145.</t>
    </r>
  </si>
  <si>
    <t>SIPEF SA</t>
  </si>
  <si>
    <t>Socfin</t>
  </si>
  <si>
    <t>Okomu Oil Palm</t>
  </si>
  <si>
    <t>Segment revenues. "The company's plantation carries on the business of palm oil and rubber cultivation."</t>
  </si>
  <si>
    <r>
      <t xml:space="preserve">Okomu Oil Palm (2019, June), </t>
    </r>
    <r>
      <rPr>
        <i/>
        <sz val="11"/>
        <color theme="1"/>
        <rFont val="Calibri"/>
        <family val="2"/>
        <scheme val="minor"/>
      </rPr>
      <t>Annual Report 2018</t>
    </r>
    <r>
      <rPr>
        <sz val="11"/>
        <color theme="1"/>
        <rFont val="Calibri"/>
        <family val="2"/>
        <scheme val="minor"/>
      </rPr>
      <t>, p. 53.</t>
    </r>
  </si>
  <si>
    <t>Okomu Oil Palm Company PLC</t>
  </si>
  <si>
    <t>"The company operates only one line of business."</t>
  </si>
  <si>
    <t>Okomu Oil Palm Company (2018, June), 2017 Annual Report &amp; Accounts, p. 37.</t>
  </si>
  <si>
    <t>Segment revenue. Okomu Oil Palm has two product lines, rubber and oil palm.</t>
  </si>
  <si>
    <t>SOCFIN SA</t>
  </si>
  <si>
    <t>Proportions of planted area. The segment breakdowns in Socfin's financial statements are based on geographical regions. As Socfin is primarily engaged in rubber and palm oil, the rubber and palm oil segment adjusters are based on planted area proportions.</t>
  </si>
  <si>
    <t>Socfin (n.d.), "Socfin", online: http://www.socfin.com/en/investors/socfin-s.a., viewed in April 2017.</t>
  </si>
  <si>
    <t>Socfinaf SA</t>
  </si>
  <si>
    <t>Proportions of planted area. The segment breakdowns in Socfinaf's financial statements are based on geographical regions. As Socfinaf is primarily engaged in rubber and palm oil, the rubber and palm oil segment adjusters are based on planted area proportions.</t>
  </si>
  <si>
    <t>Socfinaf (n.d.), "Socfinaf", online: http://www.socfin.com/en/investors/socfinaf, viewed in April 2017.</t>
  </si>
  <si>
    <t>Proportions of planted area. As Socfinaf is primarily engaged in rubber and palm oil, the rubber and palm oil segment adjusters are based on planted area proportions.</t>
  </si>
  <si>
    <t>Socfinaf (2019, April), Rapport Annuel 2018, p. 28.</t>
  </si>
  <si>
    <t>Socfinasia SA</t>
  </si>
  <si>
    <t>Proportions of planted area. The segment breakdowns in Socfinasia's financial statements are based on geographical regions. As Socfinasia is primarily engaged in rubber and palm oil, the rubber and palm oil segment adjusters are based on planted area proportions.</t>
  </si>
  <si>
    <t>Socfinasia (n.d.), "Socfinasia", online: http://www.socfin.com/en/investors/socfinasia, viewed in April 2017.</t>
  </si>
  <si>
    <t>Proportions of planted area. As Socfin is primarily engaged in rubber and palm oil, the rubber and palm oil segment adjusters are based on planted area proportions.</t>
  </si>
  <si>
    <t>Socfinasia (2019, April), Rapport Annuel 2018, p. 23.</t>
  </si>
  <si>
    <t>Socfinasia</t>
  </si>
  <si>
    <t>SOCI¿¿T¿¿ FINANCI¿¿RE DES CAOUTCHOUCS SOCI¿¿T¿¿ ANONYME</t>
  </si>
  <si>
    <t>Sojitz</t>
  </si>
  <si>
    <t>Sojitz Corp</t>
  </si>
  <si>
    <t>SOJITZ CORP, TOKYO</t>
  </si>
  <si>
    <t>Sri Trang Group</t>
  </si>
  <si>
    <t>Sri Trang Agro Industry</t>
  </si>
  <si>
    <t>SRI TRANG AGRO</t>
  </si>
  <si>
    <t>Segment assets. Sri Trang Agro Industry has four reportable operating segments: Natural Rubber Products; Engineering Business; Plantation, and; Other Business. The rubber adjuster is based on the Natural Rubber Products and Plantation segments, as the latter is still primarily engaged in rubber and there are no figures for other planted crops as these have not been planted in the past.</t>
  </si>
  <si>
    <r>
      <t xml:space="preserve">Sri Trang Agro Industry (2018, March), </t>
    </r>
    <r>
      <rPr>
        <i/>
        <sz val="11"/>
        <color theme="1"/>
        <rFont val="Calibri"/>
        <family val="2"/>
        <scheme val="minor"/>
      </rPr>
      <t>Annual Report 2017</t>
    </r>
    <r>
      <rPr>
        <sz val="11"/>
        <color theme="1"/>
        <rFont val="Calibri"/>
        <family val="2"/>
        <scheme val="minor"/>
      </rPr>
      <t>, p. 160.</t>
    </r>
  </si>
  <si>
    <t>Sri Trang Agro Industry PCL</t>
  </si>
  <si>
    <r>
      <t xml:space="preserve">Sri Trang Agro Industry (2017, March), </t>
    </r>
    <r>
      <rPr>
        <i/>
        <sz val="11"/>
        <color theme="1"/>
        <rFont val="Calibri"/>
        <family val="2"/>
        <scheme val="minor"/>
      </rPr>
      <t>Annual Report 2016: Year of Standarization</t>
    </r>
    <r>
      <rPr>
        <sz val="11"/>
        <color theme="1"/>
        <rFont val="Calibri"/>
        <family val="2"/>
        <scheme val="minor"/>
      </rPr>
      <t>, p. 157-158.</t>
    </r>
  </si>
  <si>
    <r>
      <t xml:space="preserve">Sri Trang Agro Industry (2019, March), </t>
    </r>
    <r>
      <rPr>
        <i/>
        <sz val="11"/>
        <color theme="1"/>
        <rFont val="Calibri"/>
        <family val="2"/>
        <scheme val="minor"/>
      </rPr>
      <t>Annual Report 2018</t>
    </r>
    <r>
      <rPr>
        <sz val="11"/>
        <color theme="1"/>
        <rFont val="Calibri"/>
        <family val="2"/>
        <scheme val="minor"/>
      </rPr>
      <t>, p. 181-182.</t>
    </r>
  </si>
  <si>
    <t>SRI TRANG AGRO-INDUSTRY</t>
  </si>
  <si>
    <t>Sri Trang Agro-Industry PCL</t>
  </si>
  <si>
    <t>SRI TRANG AGRO-INDUSTRY PCL</t>
  </si>
  <si>
    <t>Segment assets. Sri Trang Agro Industry has two reportable operating segments: Natural Rubber Products and Other Business. The rubber adjuster is based on the Natural Rubber Products.</t>
  </si>
  <si>
    <r>
      <t xml:space="preserve">Sri Trang Agro Industry (2013, March), </t>
    </r>
    <r>
      <rPr>
        <i/>
        <sz val="11"/>
        <color theme="1"/>
        <rFont val="Calibri"/>
        <family val="2"/>
        <scheme val="minor"/>
      </rPr>
      <t>Annual Report 2012: The Green Rubber Company,</t>
    </r>
    <r>
      <rPr>
        <sz val="11"/>
        <color theme="1"/>
        <rFont val="Calibri"/>
        <family val="2"/>
        <scheme val="minor"/>
      </rPr>
      <t xml:space="preserve"> p. 185-186.</t>
    </r>
  </si>
  <si>
    <r>
      <t xml:space="preserve">Sri Trang Agro Industry (2013, March), </t>
    </r>
    <r>
      <rPr>
        <i/>
        <sz val="11"/>
        <color theme="1"/>
        <rFont val="Calibri"/>
        <family val="2"/>
        <scheme val="minor"/>
      </rPr>
      <t>Annual Report 2012: The Green Rubber Company,</t>
    </r>
    <r>
      <rPr>
        <sz val="11"/>
        <color theme="1"/>
        <rFont val="Calibri"/>
        <family val="2"/>
        <scheme val="minor"/>
      </rPr>
      <t xml:space="preserve"> p. 185.</t>
    </r>
  </si>
  <si>
    <r>
      <t xml:space="preserve">Sri Trang Agro Industry (2015, March), </t>
    </r>
    <r>
      <rPr>
        <i/>
        <sz val="11"/>
        <color theme="1"/>
        <rFont val="Calibri"/>
        <family val="2"/>
        <scheme val="minor"/>
      </rPr>
      <t>Annual Report 2014: Year of Productivity,</t>
    </r>
    <r>
      <rPr>
        <sz val="11"/>
        <color theme="1"/>
        <rFont val="Calibri"/>
        <family val="2"/>
        <scheme val="minor"/>
      </rPr>
      <t xml:space="preserve"> p. 193, 195.</t>
    </r>
  </si>
  <si>
    <t>SRI TRANG USA INC</t>
  </si>
  <si>
    <t>All of Sri Trang Agro Industry's US operations are in the rubber supply chain. Therefore, the rubber adjuster is set at 100%.</t>
  </si>
  <si>
    <r>
      <t xml:space="preserve">Sri Trang Agro Industry (2015, March), </t>
    </r>
    <r>
      <rPr>
        <i/>
        <sz val="11"/>
        <color theme="1"/>
        <rFont val="Calibri"/>
        <family val="2"/>
        <scheme val="minor"/>
      </rPr>
      <t>Annual Report 2014: Year of Productivity,</t>
    </r>
    <r>
      <rPr>
        <sz val="11"/>
        <color theme="1"/>
        <rFont val="Calibri"/>
        <family val="2"/>
        <scheme val="minor"/>
      </rPr>
      <t xml:space="preserve"> p. 193-194.</t>
    </r>
  </si>
  <si>
    <t>Sumitomo Corp</t>
  </si>
  <si>
    <t>SUMITOMO CORP (TOKYO)</t>
  </si>
  <si>
    <t>SUMITOMO CORP CAP ASIA</t>
  </si>
  <si>
    <t>Sumitomo Corp Capital Europe PLC(Sumitomo Corp)</t>
  </si>
  <si>
    <t>SUMITOMO CORP CAPTL EURO</t>
  </si>
  <si>
    <t>Sumitomo Corp of America</t>
  </si>
  <si>
    <t>Sumitomo Corp of Americas</t>
  </si>
  <si>
    <t>SUMITOMO CORP, TOKYO</t>
  </si>
  <si>
    <t>SUMITOMO CORPORATION</t>
  </si>
  <si>
    <t>Trujillo Caceres PV Plant</t>
  </si>
  <si>
    <t xml:space="preserve">Sumitomo Forestry </t>
  </si>
  <si>
    <t>Sumitomo Forestry Co Ltd</t>
  </si>
  <si>
    <t>Segment identifiable assets. Sumitomo Forestry has two reportable operating segments: Timber &amp; Building Materials Division, and; Housing &amp; Housing-related. The timber segment adjuster is based on the Timber &amp; Building Materials Division.</t>
  </si>
  <si>
    <r>
      <t xml:space="preserve">Sumitomo Forestry (2011, February), </t>
    </r>
    <r>
      <rPr>
        <i/>
        <sz val="11"/>
        <color theme="1"/>
        <rFont val="Calibri"/>
        <family val="2"/>
        <scheme val="minor"/>
      </rPr>
      <t>Summary of Consolidated Financial Results for the Year Ended March 2010</t>
    </r>
    <r>
      <rPr>
        <sz val="11"/>
        <color theme="1"/>
        <rFont val="Calibri"/>
        <family val="2"/>
        <scheme val="minor"/>
      </rPr>
      <t>, p. 27.</t>
    </r>
  </si>
  <si>
    <t>Segment assets. Sumitomo Forestry has four reportable operating segments: Timber &amp; Building Materials Division; Overseas Business; Housing, and; Real Estate. The Overseas Business segment includes both real estate and the timber. However, there is insufficient data to differentiate between these two sub-segments. Therefore, timber segment adjuster is based on the Timber &amp; Building Materials Division and half of the Overseas Business.</t>
  </si>
  <si>
    <r>
      <t xml:space="preserve">Sumitomo Forestry (2012, September), </t>
    </r>
    <r>
      <rPr>
        <i/>
        <sz val="11"/>
        <color theme="1"/>
        <rFont val="Calibri"/>
        <family val="2"/>
        <scheme val="minor"/>
      </rPr>
      <t>Summary of Consolidated Financial Results for the Year Ended March 2012</t>
    </r>
    <r>
      <rPr>
        <sz val="11"/>
        <color theme="1"/>
        <rFont val="Calibri"/>
        <family val="2"/>
        <scheme val="minor"/>
      </rPr>
      <t>, p. 29-30.</t>
    </r>
  </si>
  <si>
    <t>Segment assets. Sumitomo Forestry has three reportable operating segments: Timber &amp; Building Materials Division; Housing Business, and; Overseas Business. The Overseas Business segment includes both real estate and the timber. However, there is insufficient data to differentiate between these two sub-segments. Therefore, timber segment adjuster is based on the Timber &amp; Building Materials Division and half of the Overseas Business.</t>
  </si>
  <si>
    <r>
      <t xml:space="preserve">Sumitomo Forestry (2014, May), </t>
    </r>
    <r>
      <rPr>
        <i/>
        <sz val="11"/>
        <color theme="1"/>
        <rFont val="Calibri"/>
        <family val="2"/>
        <scheme val="minor"/>
      </rPr>
      <t>Summary of Consolidated Financial Results for the Year Ended March 2014</t>
    </r>
    <r>
      <rPr>
        <sz val="11"/>
        <color theme="1"/>
        <rFont val="Calibri"/>
        <family val="2"/>
        <scheme val="minor"/>
      </rPr>
      <t>, p. 30-31.</t>
    </r>
  </si>
  <si>
    <r>
      <t xml:space="preserve">Sumitomo Forestry (2016, May), </t>
    </r>
    <r>
      <rPr>
        <i/>
        <sz val="11"/>
        <color theme="1"/>
        <rFont val="Calibri"/>
        <family val="2"/>
        <scheme val="minor"/>
      </rPr>
      <t>Summary of Consolidated Financial Results for the Year Ended March 2016</t>
    </r>
    <r>
      <rPr>
        <sz val="11"/>
        <color theme="1"/>
        <rFont val="Calibri"/>
        <family val="2"/>
        <scheme val="minor"/>
      </rPr>
      <t>, p. 32-33.</t>
    </r>
  </si>
  <si>
    <r>
      <t xml:space="preserve">Sumitomo Forestry (2016, May), </t>
    </r>
    <r>
      <rPr>
        <i/>
        <sz val="11"/>
        <color theme="1"/>
        <rFont val="Calibri"/>
        <family val="2"/>
        <scheme val="minor"/>
      </rPr>
      <t>Summary of Consolidated Financial Results for the Year Ended March 2016</t>
    </r>
    <r>
      <rPr>
        <sz val="11"/>
        <color theme="1"/>
        <rFont val="Calibri"/>
        <family val="2"/>
        <scheme val="minor"/>
      </rPr>
      <t>, p. 32, 34.</t>
    </r>
  </si>
  <si>
    <r>
      <t xml:space="preserve">Sumitomo Forestry (2018, May), </t>
    </r>
    <r>
      <rPr>
        <i/>
        <sz val="11"/>
        <color theme="1"/>
        <rFont val="Calibri"/>
        <family val="2"/>
        <scheme val="minor"/>
      </rPr>
      <t>Summary of Financial Results for the Year Ended March 2017 [Consolidated]</t>
    </r>
    <r>
      <rPr>
        <sz val="11"/>
        <color theme="1"/>
        <rFont val="Calibri"/>
        <family val="2"/>
        <scheme val="minor"/>
      </rPr>
      <t>, p. 16.</t>
    </r>
  </si>
  <si>
    <t>Segment increase in property, plant and equipment and intangible assets. Sumitomo Forestry has three reportable operating segments: Timber &amp; Building Materials Division; Housing Business, and; Overseas Business. The Overseas Business segment includes both real estate and the timber. However, there is insufficient data to differentiate between these two sub-segments. Therefore, timber segment adjuster is based on the Timber &amp; Building Materials Division and half of the Overseas Business.</t>
  </si>
  <si>
    <r>
      <t xml:space="preserve">Sumitomo Forestry (2019, May), </t>
    </r>
    <r>
      <rPr>
        <i/>
        <sz val="11"/>
        <color theme="1"/>
        <rFont val="Calibri"/>
        <family val="2"/>
        <scheme val="minor"/>
      </rPr>
      <t>Summary of Financial Results for the Year Ended March 2019 [Consolidated]</t>
    </r>
    <r>
      <rPr>
        <sz val="11"/>
        <color theme="1"/>
        <rFont val="Calibri"/>
        <family val="2"/>
        <scheme val="minor"/>
      </rPr>
      <t>, p. 16.</t>
    </r>
  </si>
  <si>
    <t>SUMITOMO FORESTRY CO LTD</t>
  </si>
  <si>
    <t>SUMITOMO FORESTRY CO., LTD.</t>
  </si>
  <si>
    <t>Sumitomo Rubber Industries</t>
  </si>
  <si>
    <t>SUMITOMO RUBBER IND., LTD.</t>
  </si>
  <si>
    <t>Segment capital expenditures. Sumitomor Rubber Industries has three reportable operating segments: Tires; Sports, and; Industrial &amp; Other Products. The Tires segment also includes Automotive Systems. However, there is insufficient data to differentiate the sub-segments. The Sports segment includes many irrelevant subsegments. Therefore, the rubber segment adjuster is based on the Industrial &amp; Other Products and half of the Tires segment.</t>
  </si>
  <si>
    <r>
      <t xml:space="preserve">Sumitomo Rubber Industries (2019, February), </t>
    </r>
    <r>
      <rPr>
        <i/>
        <sz val="11"/>
        <color theme="1"/>
        <rFont val="Calibri"/>
        <family val="2"/>
        <scheme val="minor"/>
      </rPr>
      <t>Consolidated Financial Results for the Year Ended December 31, 2018</t>
    </r>
    <r>
      <rPr>
        <sz val="11"/>
        <color theme="1"/>
        <rFont val="Calibri"/>
        <family val="2"/>
        <scheme val="minor"/>
      </rPr>
      <t>, p. 18.</t>
    </r>
  </si>
  <si>
    <t>SUMITOMO RUBBER INDUSTRIES</t>
  </si>
  <si>
    <r>
      <t xml:space="preserve">Sumitomo Rubber Industries (2018, February), </t>
    </r>
    <r>
      <rPr>
        <i/>
        <sz val="11"/>
        <color theme="1"/>
        <rFont val="Calibri"/>
        <family val="2"/>
        <scheme val="minor"/>
      </rPr>
      <t>Consolidated Financial Results for the Year Ended December 31, 2017</t>
    </r>
    <r>
      <rPr>
        <sz val="11"/>
        <color theme="1"/>
        <rFont val="Calibri"/>
        <family val="2"/>
        <scheme val="minor"/>
      </rPr>
      <t>, p. 17.</t>
    </r>
  </si>
  <si>
    <t>Sumitomo Rubber Industries Ltd</t>
  </si>
  <si>
    <r>
      <t xml:space="preserve">Sumitomo Rubber Industries (2011, June), </t>
    </r>
    <r>
      <rPr>
        <i/>
        <sz val="11"/>
        <color theme="1"/>
        <rFont val="Calibri"/>
        <family val="2"/>
        <scheme val="minor"/>
      </rPr>
      <t>Annual Report 2010</t>
    </r>
    <r>
      <rPr>
        <sz val="11"/>
        <color theme="1"/>
        <rFont val="Calibri"/>
        <family val="2"/>
        <scheme val="minor"/>
      </rPr>
      <t>, p. 43-44.</t>
    </r>
  </si>
  <si>
    <r>
      <t xml:space="preserve">Sumitomo Rubber Industries (2013, May), </t>
    </r>
    <r>
      <rPr>
        <i/>
        <sz val="11"/>
        <color theme="1"/>
        <rFont val="Calibri"/>
        <family val="2"/>
        <scheme val="minor"/>
      </rPr>
      <t>Annual Report 2012</t>
    </r>
    <r>
      <rPr>
        <sz val="11"/>
        <color theme="1"/>
        <rFont val="Calibri"/>
        <family val="2"/>
        <scheme val="minor"/>
      </rPr>
      <t>, p. 48-49.</t>
    </r>
  </si>
  <si>
    <t>Segment increase in property, plant and equipment and intangible assets / capital expenditures. Sumitomor Rubber Industries has three reportable operating segments: Tires; Sports, and; Industrial &amp; Other Products. The Tires segment also includes Automotive Systems. However, there is insufficient data to differentiate the sub-segments. The Sports segment includes many irrelevant subsegments. Therefore, the rubber segment adjuster is based on the Industrial &amp; Other Products and half of the Tires segment.</t>
  </si>
  <si>
    <r>
      <t xml:space="preserve">Sumitomo Rubber Industries (2015, February), </t>
    </r>
    <r>
      <rPr>
        <i/>
        <sz val="11"/>
        <color theme="1"/>
        <rFont val="Calibri"/>
        <family val="2"/>
        <scheme val="minor"/>
      </rPr>
      <t>Consolidated Financial Results for the Year Ended December 31, 2014</t>
    </r>
    <r>
      <rPr>
        <sz val="11"/>
        <color theme="1"/>
        <rFont val="Calibri"/>
        <family val="2"/>
        <scheme val="minor"/>
      </rPr>
      <t>, p. 27-28.</t>
    </r>
  </si>
  <si>
    <r>
      <t xml:space="preserve">Sumitomo Rubber Industries (2015, February), </t>
    </r>
    <r>
      <rPr>
        <i/>
        <sz val="11"/>
        <color theme="1"/>
        <rFont val="Calibri"/>
        <family val="2"/>
        <scheme val="minor"/>
      </rPr>
      <t>Consolidated Financial Results for the Year Ended December 31, 2014</t>
    </r>
    <r>
      <rPr>
        <sz val="11"/>
        <color theme="1"/>
        <rFont val="Calibri"/>
        <family val="2"/>
        <scheme val="minor"/>
      </rPr>
      <t>, p. 27, 29.</t>
    </r>
  </si>
  <si>
    <r>
      <t xml:space="preserve">Sumitomo Rubber Industries (2017, April), </t>
    </r>
    <r>
      <rPr>
        <i/>
        <sz val="11"/>
        <color theme="1"/>
        <rFont val="Calibri"/>
        <family val="2"/>
        <scheme val="minor"/>
      </rPr>
      <t>Consolidated Financial Results for the Year Ended December 31, 2016</t>
    </r>
    <r>
      <rPr>
        <sz val="11"/>
        <color theme="1"/>
        <rFont val="Calibri"/>
        <family val="2"/>
        <scheme val="minor"/>
      </rPr>
      <t>, p. 30-31.</t>
    </r>
  </si>
  <si>
    <r>
      <t xml:space="preserve">Sumitomo Rubber Industries (2017, April), </t>
    </r>
    <r>
      <rPr>
        <i/>
        <sz val="11"/>
        <color theme="1"/>
        <rFont val="Calibri"/>
        <family val="2"/>
        <scheme val="minor"/>
      </rPr>
      <t>Consolidated Financial Results for the Year Ended December 31, 2016</t>
    </r>
    <r>
      <rPr>
        <sz val="11"/>
        <color theme="1"/>
        <rFont val="Calibri"/>
        <family val="2"/>
        <scheme val="minor"/>
      </rPr>
      <t>, p. 30, 32.</t>
    </r>
  </si>
  <si>
    <t>SUMITOMO RUBBER INDUSTRIES LTD</t>
  </si>
  <si>
    <t>SUMITOMO RUBBER INDUSTRY</t>
  </si>
  <si>
    <t>Sungai Budi Group</t>
  </si>
  <si>
    <t>Tunas Baru Lampung</t>
  </si>
  <si>
    <t>Adikarya Gemilang</t>
  </si>
  <si>
    <t>Segment liabilities combined with segment cost of goods sold. Tunas Baru Lampung has three reportable operating segments: Plantations; Manufacturing, and; Real Estate. The palm oil adjuster is based on the segments assets of the Plantations and Manufacturing segments corrected for the proportion of palm oil in cost of goods sold. The Manufacturing segment is only corrected for palm oil and sugar, while the plantations segment is corrected for palm oil, sugar and pineapple.</t>
  </si>
  <si>
    <r>
      <t xml:space="preserve">Tunas Baru Lampung (2013, April), </t>
    </r>
    <r>
      <rPr>
        <i/>
        <sz val="11"/>
        <color theme="1"/>
        <rFont val="Calibri"/>
        <family val="2"/>
        <scheme val="minor"/>
      </rPr>
      <t>Annual Report 2012</t>
    </r>
    <r>
      <rPr>
        <sz val="11"/>
        <color theme="1"/>
        <rFont val="Calibri"/>
        <family val="2"/>
        <scheme val="minor"/>
      </rPr>
      <t>, p. FS-93, FS-124.</t>
    </r>
  </si>
  <si>
    <t>Segment liabilities combined with segment cost of goods sold. Tunas Baru Lampung has two reportable operating segments: Plantations, and Manufacturing. The palm oil adjuster is based on the segments assets of the Plantations and Manufacturing segments corrected for the proportion of palm oil in cost of goods sold. The Manufacturing segment is only corrected for palm oil and sugar, while the plantations segment is corrected for palm oil, sugar and pineapple.</t>
  </si>
  <si>
    <r>
      <t xml:space="preserve">Tunas Baru Lampung (2016, April), </t>
    </r>
    <r>
      <rPr>
        <i/>
        <sz val="11"/>
        <color theme="1"/>
        <rFont val="Calibri"/>
        <family val="2"/>
        <scheme val="minor"/>
      </rPr>
      <t>Annual Report 2015</t>
    </r>
    <r>
      <rPr>
        <sz val="11"/>
        <color theme="1"/>
        <rFont val="Calibri"/>
        <family val="2"/>
        <scheme val="minor"/>
      </rPr>
      <t>, p. FS-84, FS-115.</t>
    </r>
  </si>
  <si>
    <t>Bumi Perkasa Gemilang</t>
  </si>
  <si>
    <t>Palm oil company</t>
  </si>
  <si>
    <r>
      <t xml:space="preserve">Tunas Baru Lampung (2016, April), </t>
    </r>
    <r>
      <rPr>
        <i/>
        <sz val="11"/>
        <color theme="1"/>
        <rFont val="Calibri"/>
        <family val="2"/>
        <scheme val="minor"/>
      </rPr>
      <t>Annual Report 2015</t>
    </r>
    <r>
      <rPr>
        <sz val="11"/>
        <color theme="1"/>
        <rFont val="Calibri"/>
        <family val="2"/>
        <scheme val="minor"/>
      </rPr>
      <t>, p. 34.</t>
    </r>
  </si>
  <si>
    <t>Samora Usaha Jaya</t>
  </si>
  <si>
    <t>Palm oil plantation</t>
  </si>
  <si>
    <r>
      <t xml:space="preserve">Tunas Baru Lampung (2018, May), </t>
    </r>
    <r>
      <rPr>
        <i/>
        <sz val="11"/>
        <color theme="1"/>
        <rFont val="Calibri"/>
        <family val="2"/>
        <scheme val="minor"/>
      </rPr>
      <t>Annual Report 2017</t>
    </r>
    <r>
      <rPr>
        <sz val="11"/>
        <color theme="1"/>
        <rFont val="Calibri"/>
        <family val="2"/>
        <scheme val="minor"/>
      </rPr>
      <t>, p. FS-85, FS-115.</t>
    </r>
  </si>
  <si>
    <t>Tunas Baru Lampung Tbk PT</t>
  </si>
  <si>
    <t>Surya Andalan Primatama</t>
  </si>
  <si>
    <t>CPO mill</t>
  </si>
  <si>
    <t>TBLA INTERNATIONAL PTE L</t>
  </si>
  <si>
    <t>Segment assets combined with net sales. Tunas Baru Lampung has two reportable operating segments: Plantations, and Manufacturing. The palm oil adjuster is based on the segments assets of the Plantations and Manufacturing segments corrected for the proportion of palm oil in cost of goods sold.</t>
  </si>
  <si>
    <r>
      <t xml:space="preserve">Tunas Baru Lampung (2019, April), </t>
    </r>
    <r>
      <rPr>
        <i/>
        <sz val="11"/>
        <color theme="1"/>
        <rFont val="Calibri"/>
        <family val="2"/>
        <scheme val="minor"/>
      </rPr>
      <t>Annual Report 2018</t>
    </r>
    <r>
      <rPr>
        <sz val="11"/>
        <color theme="1"/>
        <rFont val="Calibri"/>
        <family val="2"/>
        <scheme val="minor"/>
      </rPr>
      <t>, p. FS-81, 109.</t>
    </r>
  </si>
  <si>
    <t>Tbla International Pte. Ltd</t>
  </si>
  <si>
    <t>TBLA INTERNATIONAL PTE. LTD.</t>
  </si>
  <si>
    <r>
      <t xml:space="preserve">Tunas Baru Lampung (2011, April), </t>
    </r>
    <r>
      <rPr>
        <i/>
        <sz val="11"/>
        <color theme="1"/>
        <rFont val="Calibri"/>
        <family val="2"/>
        <scheme val="minor"/>
      </rPr>
      <t>Annual Report 2010</t>
    </r>
    <r>
      <rPr>
        <sz val="11"/>
        <color theme="1"/>
        <rFont val="Calibri"/>
        <family val="2"/>
        <scheme val="minor"/>
      </rPr>
      <t>, p. FS-91, FS-126.</t>
    </r>
  </si>
  <si>
    <t>TUNAS BARU LAMPUNG</t>
  </si>
  <si>
    <t>Segment assets combined with segment cost of goods sold. Tunas Baru Lampung has two reportable operating segments: Plantations, and Manufacturing. The palm oil adjuster is based on the segments assets of the Plantations and Manufacturing segments corrected for the proportion of palm oil in cost of goods sold.</t>
  </si>
  <si>
    <r>
      <t xml:space="preserve">Tunas Baru Lampung (2019, March), </t>
    </r>
    <r>
      <rPr>
        <i/>
        <sz val="11"/>
        <color theme="1"/>
        <rFont val="Calibri"/>
        <family val="2"/>
        <scheme val="minor"/>
      </rPr>
      <t>Annual Report 2018</t>
    </r>
    <r>
      <rPr>
        <sz val="11"/>
        <color theme="1"/>
        <rFont val="Calibri"/>
        <family val="2"/>
        <scheme val="minor"/>
      </rPr>
      <t>, p. 47.</t>
    </r>
  </si>
  <si>
    <t>Surya Dumai Group</t>
  </si>
  <si>
    <t>FIRST RESOURCES LTD</t>
  </si>
  <si>
    <t>First Resources has two reportable operating segments: Plantations &amp; Palm Mills, and Refinery &amp; Processing. As both segments related to stages of the palm oil supply chain, the palm oil adjuster is set at 100%.</t>
  </si>
  <si>
    <r>
      <t xml:space="preserve">First Resources (2017, April), </t>
    </r>
    <r>
      <rPr>
        <i/>
        <sz val="11"/>
        <color theme="1"/>
        <rFont val="Calibri"/>
        <family val="2"/>
        <scheme val="minor"/>
      </rPr>
      <t>Annual Report 2016</t>
    </r>
    <r>
      <rPr>
        <sz val="11"/>
        <color theme="1"/>
        <rFont val="Calibri"/>
        <family val="2"/>
        <scheme val="minor"/>
      </rPr>
      <t>, p. 140.</t>
    </r>
  </si>
  <si>
    <t>First Resources Ltd</t>
  </si>
  <si>
    <r>
      <t xml:space="preserve">First Resources (2018, March), </t>
    </r>
    <r>
      <rPr>
        <i/>
        <sz val="11"/>
        <color theme="1"/>
        <rFont val="Calibri"/>
        <family val="2"/>
        <scheme val="minor"/>
      </rPr>
      <t>Annual Report 2017</t>
    </r>
    <r>
      <rPr>
        <sz val="11"/>
        <color theme="1"/>
        <rFont val="Calibri"/>
        <family val="2"/>
        <scheme val="minor"/>
      </rPr>
      <t>, p. 138.</t>
    </r>
  </si>
  <si>
    <t>First Resources</t>
  </si>
  <si>
    <r>
      <t xml:space="preserve">First Resources (2019, April), </t>
    </r>
    <r>
      <rPr>
        <i/>
        <sz val="11"/>
        <color theme="1"/>
        <rFont val="Calibri"/>
        <family val="2"/>
        <scheme val="minor"/>
      </rPr>
      <t>Annual Report 2018</t>
    </r>
    <r>
      <rPr>
        <sz val="11"/>
        <color theme="1"/>
        <rFont val="Calibri"/>
        <family val="2"/>
        <scheme val="minor"/>
      </rPr>
      <t>, p. 138.</t>
    </r>
  </si>
  <si>
    <t>Ta Ann Holdings</t>
  </si>
  <si>
    <t>Segment capital expenditures. Ta Ann has three reportable operating segments: Timber Products; Plantations, and; Others. The timber adjuster is based on the Timber Products segment. The palm oil adjuster is based on the Plantations segment which is predominantly engaged in palm oil.</t>
  </si>
  <si>
    <r>
      <t xml:space="preserve">Ta Ann Holdings (2019, April), </t>
    </r>
    <r>
      <rPr>
        <i/>
        <sz val="11"/>
        <color theme="1"/>
        <rFont val="Calibri"/>
        <family val="2"/>
        <scheme val="minor"/>
      </rPr>
      <t>Annual Report 2018</t>
    </r>
    <r>
      <rPr>
        <sz val="11"/>
        <color theme="1"/>
        <rFont val="Calibri"/>
        <family val="2"/>
        <scheme val="minor"/>
      </rPr>
      <t>, p. FS-195.</t>
    </r>
  </si>
  <si>
    <t>Ta Ann Holdings Bhd</t>
  </si>
  <si>
    <t>Ta Ann has three reportable operating segments: Segment capital expenditures. Timber Products; Plantations, and; Others. The timber adjuster is based on the Timber Products segment. The palm oil adjuster is based on the Plantations segment which is predominantly engaged in palm oil.</t>
  </si>
  <si>
    <r>
      <t xml:space="preserve">Ta Ann Holdings (2016, April), </t>
    </r>
    <r>
      <rPr>
        <i/>
        <sz val="11"/>
        <color theme="1"/>
        <rFont val="Calibri"/>
        <family val="2"/>
        <scheme val="minor"/>
      </rPr>
      <t>Financial Statements for the Year Ended 31 December 2015</t>
    </r>
    <r>
      <rPr>
        <sz val="11"/>
        <color theme="1"/>
        <rFont val="Calibri"/>
        <family val="2"/>
        <scheme val="minor"/>
      </rPr>
      <t>, p. 93.</t>
    </r>
  </si>
  <si>
    <r>
      <t xml:space="preserve">Ta Ann Holdings (2018), </t>
    </r>
    <r>
      <rPr>
        <i/>
        <sz val="11"/>
        <color theme="1"/>
        <rFont val="Calibri"/>
        <family val="2"/>
        <scheme val="minor"/>
      </rPr>
      <t>Financial Statements for the Year Ended 31 December 2017</t>
    </r>
    <r>
      <rPr>
        <sz val="11"/>
        <color theme="1"/>
        <rFont val="Calibri"/>
        <family val="2"/>
        <scheme val="minor"/>
      </rPr>
      <t>, p. 198.</t>
    </r>
  </si>
  <si>
    <t>Ta Ann Pelita Igan</t>
  </si>
  <si>
    <t>Ta Ann Pelita Igan is a palm oil cultivation company.</t>
  </si>
  <si>
    <r>
      <t xml:space="preserve">Suruhanjaya Syarikat Malaysia (2017, May), </t>
    </r>
    <r>
      <rPr>
        <i/>
        <sz val="11"/>
        <color theme="1"/>
        <rFont val="Calibri"/>
        <family val="2"/>
        <scheme val="minor"/>
      </rPr>
      <t>Company Profile: Ta Ann Pelita Igan,</t>
    </r>
    <r>
      <rPr>
        <sz val="11"/>
        <color theme="1"/>
        <rFont val="Calibri"/>
        <family val="2"/>
        <scheme val="minor"/>
      </rPr>
      <t xml:space="preserve"> p. 1.</t>
    </r>
  </si>
  <si>
    <t>Tadmax Group</t>
  </si>
  <si>
    <t>Tadmax Resources Bhd</t>
  </si>
  <si>
    <t xml:space="preserve">Segment capital expenditures. Tadmax Resourecs has five reportable operating segments: Timber; Investment Holding; Property Development &amp; Construction Related; Industrial Supplies, and; Other. The Investment Holding segment is primarily engaged in palm oil investments. Therefore, the palm oil segment adjuster is based on the Investment Holding segment. The timber adjuster is based on the Timber segment. </t>
  </si>
  <si>
    <r>
      <t xml:space="preserve">Tadmax Resources (2013, May), </t>
    </r>
    <r>
      <rPr>
        <i/>
        <sz val="11"/>
        <color theme="1"/>
        <rFont val="Calibri"/>
        <family val="2"/>
        <scheme val="minor"/>
      </rPr>
      <t>Annual Report 2012</t>
    </r>
    <r>
      <rPr>
        <sz val="11"/>
        <color theme="1"/>
        <rFont val="Calibri"/>
        <family val="2"/>
        <scheme val="minor"/>
      </rPr>
      <t>, p. 95.</t>
    </r>
  </si>
  <si>
    <t xml:space="preserve">Tadmax Resourecs has five reportable operating segments: Timber; Investment Holding; Property Development &amp; Construction Related; Industrial Supplies, and; Other. The Investment Holding segment is primarily engaged in palm oil investments. Therefore, the palm oil segment adjuster is based on the Investment Holding segment. The timber adjuster is based on the Timber segment. </t>
  </si>
  <si>
    <r>
      <t xml:space="preserve">Tadmax Resources (2016, April), </t>
    </r>
    <r>
      <rPr>
        <i/>
        <sz val="11"/>
        <color theme="1"/>
        <rFont val="Calibri"/>
        <family val="2"/>
        <scheme val="minor"/>
      </rPr>
      <t>Annual Report 2015</t>
    </r>
    <r>
      <rPr>
        <sz val="11"/>
        <color theme="1"/>
        <rFont val="Calibri"/>
        <family val="2"/>
        <scheme val="minor"/>
      </rPr>
      <t>, p. 91-92.</t>
    </r>
  </si>
  <si>
    <t>Tadmax Resourecs has six reportable operating segments: Timber; Investment Holding; Property Development &amp; Construction Related; Industrial Supplies; Energy, and; Other. The Investment Holding segment is primarily engaged in palm oil investments. Therefore, the palm oil segment adjuster is based on the Investment Holding segment. The timber adjuster is based on the Timber segment.</t>
  </si>
  <si>
    <r>
      <t xml:space="preserve">Tadmax Resources (2018, April), </t>
    </r>
    <r>
      <rPr>
        <i/>
        <sz val="11"/>
        <color theme="1"/>
        <rFont val="Calibri"/>
        <family val="2"/>
        <scheme val="minor"/>
      </rPr>
      <t>Annual Report 2017</t>
    </r>
    <r>
      <rPr>
        <sz val="11"/>
        <color theme="1"/>
        <rFont val="Calibri"/>
        <family val="2"/>
        <scheme val="minor"/>
      </rPr>
      <t>, p. 125.</t>
    </r>
  </si>
  <si>
    <t>Tadmax Resources</t>
  </si>
  <si>
    <t>TADMAX RESOURCES BHD</t>
  </si>
  <si>
    <r>
      <t xml:space="preserve">Tadmax Resources (2019, April), </t>
    </r>
    <r>
      <rPr>
        <i/>
        <sz val="11"/>
        <color theme="1"/>
        <rFont val="Calibri"/>
        <family val="2"/>
        <scheme val="minor"/>
      </rPr>
      <t>Annual Report 2018</t>
    </r>
    <r>
      <rPr>
        <sz val="11"/>
        <color theme="1"/>
        <rFont val="Calibri"/>
        <family val="2"/>
        <scheme val="minor"/>
      </rPr>
      <t>, p. 151.</t>
    </r>
  </si>
  <si>
    <t>Tanah Makmur Group</t>
  </si>
  <si>
    <t>Tanah Makmur Bhd</t>
  </si>
  <si>
    <t>Segment additions to non-current assets / capital expenditures. Tanah Makmur has two reportable operating segments: Plantation and Property Development. The palm oil adjuster is based on the Plantation segment as this is primarily engaged in palm oil and related products. 2012 segment data could not be identified, therefore 2013 data was used.</t>
  </si>
  <si>
    <r>
      <t xml:space="preserve">Tanah Makmur Berhad (2015, April), </t>
    </r>
    <r>
      <rPr>
        <i/>
        <sz val="11"/>
        <color theme="1"/>
        <rFont val="Calibri"/>
        <family val="2"/>
        <scheme val="minor"/>
      </rPr>
      <t>Annual Report 2014: Optimizing Opportunities</t>
    </r>
    <r>
      <rPr>
        <sz val="11"/>
        <color theme="1"/>
        <rFont val="Calibri"/>
        <family val="2"/>
        <scheme val="minor"/>
      </rPr>
      <t>, p. FS-167-168.</t>
    </r>
  </si>
  <si>
    <t>TANAH MAKMUR BHD</t>
  </si>
  <si>
    <t>Segment additions to non-current assets / capital expenditures. Tanah Makmur has two reportable operating segments: Plantation and Property Development. The palm oil adjuster is based on the Plantation segment as this is primarily engaged in palm oil and related products. 2016 QR4 segment breakdown did not include segment capital expenditures, assets or liabilities, only revenues and profit before tax. 2015 adjuster used.</t>
  </si>
  <si>
    <r>
      <t xml:space="preserve">Tanah Makmur Berhad (2016, April), </t>
    </r>
    <r>
      <rPr>
        <i/>
        <sz val="11"/>
        <color theme="1"/>
        <rFont val="Calibri"/>
        <family val="2"/>
        <scheme val="minor"/>
      </rPr>
      <t>Annual Report 2015: On a Path of Growth and Sustainability</t>
    </r>
    <r>
      <rPr>
        <sz val="11"/>
        <color theme="1"/>
        <rFont val="Calibri"/>
        <family val="2"/>
        <scheme val="minor"/>
      </rPr>
      <t>, p. FS-183-184.</t>
    </r>
  </si>
  <si>
    <t>Tanah Makmur Bhd (WAS 50662C)</t>
  </si>
  <si>
    <t>Segment additions to non-current assets / capital expenditures. Tanah Makmur has two reportable operating segments: Plantation and Property Development. The palm oil adjuster is based on the Plantation segment as this is primarily engaged in palm oil and related products.</t>
  </si>
  <si>
    <r>
      <t xml:space="preserve">Tanah Makmur Berhad (2016, April), </t>
    </r>
    <r>
      <rPr>
        <i/>
        <sz val="11"/>
        <color theme="1"/>
        <rFont val="Calibri"/>
        <family val="2"/>
        <scheme val="minor"/>
      </rPr>
      <t>Annual Report 2015: On a Path of Growth and Sustainability</t>
    </r>
    <r>
      <rPr>
        <sz val="11"/>
        <color theme="1"/>
        <rFont val="Calibri"/>
        <family val="2"/>
        <scheme val="minor"/>
      </rPr>
      <t>, p. FS-183, 185.</t>
    </r>
  </si>
  <si>
    <t>Tanah Makmur Kotasas</t>
  </si>
  <si>
    <t>Tanjung Lingga Group</t>
  </si>
  <si>
    <t>Citra Borneo Indah Group (CBI Group)</t>
  </si>
  <si>
    <t>Kalimantan Sawit Abadi</t>
  </si>
  <si>
    <t>Palm oil estate and mill</t>
  </si>
  <si>
    <r>
      <t xml:space="preserve">Sawit Sumbermas Sarana (2018, April), </t>
    </r>
    <r>
      <rPr>
        <i/>
        <sz val="11"/>
        <color theme="1"/>
        <rFont val="Calibri"/>
        <family val="2"/>
        <scheme val="minor"/>
      </rPr>
      <t>2017 Annual Report: Committed to Global Sustainable Development</t>
    </r>
    <r>
      <rPr>
        <sz val="11"/>
        <color theme="1"/>
        <rFont val="Calibri"/>
        <family val="2"/>
        <scheme val="minor"/>
      </rPr>
      <t>, p. 55.</t>
    </r>
  </si>
  <si>
    <t>Mitra Mendawai Sejati</t>
  </si>
  <si>
    <r>
      <t xml:space="preserve">Sawit Sumbermas Sarana (2019, June), </t>
    </r>
    <r>
      <rPr>
        <i/>
        <sz val="11"/>
        <color theme="1"/>
        <rFont val="Calibri"/>
        <family val="2"/>
        <scheme val="minor"/>
      </rPr>
      <t>Optimizing Palm Oil Through Sustainability: Annual Report 2018</t>
    </r>
    <r>
      <rPr>
        <sz val="11"/>
        <color theme="1"/>
        <rFont val="Calibri"/>
        <family val="2"/>
        <scheme val="minor"/>
      </rPr>
      <t>, p. 79.</t>
    </r>
  </si>
  <si>
    <t>Sawit Multi Utama</t>
  </si>
  <si>
    <t>"The Group operates and manages its business in 1 (one) segment that is oil palm plantations and sells its products in 1 (one) region that is Central Kalimantan."</t>
  </si>
  <si>
    <r>
      <t xml:space="preserve">Sawit Sumbermas Sarana (2018, April), </t>
    </r>
    <r>
      <rPr>
        <i/>
        <sz val="11"/>
        <color theme="1"/>
        <rFont val="Calibri"/>
        <family val="2"/>
        <scheme val="minor"/>
      </rPr>
      <t>2017 Annual Report: Committed to Global Sustainable Development</t>
    </r>
    <r>
      <rPr>
        <sz val="11"/>
        <color theme="1"/>
        <rFont val="Calibri"/>
        <family val="2"/>
        <scheme val="minor"/>
      </rPr>
      <t>, p. 115.</t>
    </r>
  </si>
  <si>
    <t>SAWIT SUMBERMAS SARANA TBK P</t>
  </si>
  <si>
    <t>Sawit Sumbermas Sarana Tbk PT</t>
  </si>
  <si>
    <t>"As of December 31, 2018 and 2017, the Group operates and manages its business in 1 (one) segment that is oil palm plantations and sells its products in 1 (one) region that is Central Kalimantan."</t>
  </si>
  <si>
    <r>
      <t xml:space="preserve">Sawit Sumbermas Sarana (2019, June), </t>
    </r>
    <r>
      <rPr>
        <i/>
        <sz val="11"/>
        <color theme="1"/>
        <rFont val="Calibri"/>
        <family val="2"/>
        <scheme val="minor"/>
      </rPr>
      <t>Optimizing Palm Oil Through Sustainability: Annual Report 2018</t>
    </r>
    <r>
      <rPr>
        <sz val="11"/>
        <color theme="1"/>
        <rFont val="Calibri"/>
        <family val="2"/>
        <scheme val="minor"/>
      </rPr>
      <t>, p. FS-122.</t>
    </r>
  </si>
  <si>
    <t>SAWIT SUMBERMAS SARANA TBK PT</t>
  </si>
  <si>
    <t>SSMS PLANTATION HOLDINGS</t>
  </si>
  <si>
    <t>Ssms Plantation Holdings Pte Ltd</t>
  </si>
  <si>
    <t>SSMS PLANTATION HOLDINGS PTE. LTD.</t>
  </si>
  <si>
    <t>Tanjung Sawit Abadi</t>
  </si>
  <si>
    <t>TDM</t>
  </si>
  <si>
    <t>TDM Bhd</t>
  </si>
  <si>
    <t>TDM BHD</t>
  </si>
  <si>
    <t>TDM has three reportable operating segments: Plantation; Healthcare, and; Others. The palm oil adjuster is based on the Plantation segment as this is primarily engaged in palm oil and related products.</t>
  </si>
  <si>
    <r>
      <t xml:space="preserve">TDM (2014, May), </t>
    </r>
    <r>
      <rPr>
        <i/>
        <sz val="11"/>
        <color theme="1"/>
        <rFont val="Calibri"/>
        <family val="2"/>
        <scheme val="minor"/>
      </rPr>
      <t>Annual Report 2013: A Definite Position</t>
    </r>
    <r>
      <rPr>
        <sz val="11"/>
        <color theme="1"/>
        <rFont val="Calibri"/>
        <family val="2"/>
        <scheme val="minor"/>
      </rPr>
      <t>, p. 179-180.</t>
    </r>
  </si>
  <si>
    <r>
      <t xml:space="preserve">TDM (2016, April), </t>
    </r>
    <r>
      <rPr>
        <i/>
        <sz val="11"/>
        <color theme="1"/>
        <rFont val="Calibri"/>
        <family val="2"/>
        <scheme val="minor"/>
      </rPr>
      <t>Annual Report 2015: Sustainable, Profitable Growth</t>
    </r>
    <r>
      <rPr>
        <sz val="11"/>
        <color theme="1"/>
        <rFont val="Calibri"/>
        <family val="2"/>
        <scheme val="minor"/>
      </rPr>
      <t>, p. 144-145.</t>
    </r>
  </si>
  <si>
    <t xml:space="preserve">Segment additions to non-current assets. TDM has three reportable operating segments: Plantation; Healthcare, and; Others. The palm oil adjuster is based on the Plantation segment as this is primarily engaged in palm oil and related products. </t>
  </si>
  <si>
    <r>
      <t xml:space="preserve">TDM (2018, April), </t>
    </r>
    <r>
      <rPr>
        <i/>
        <sz val="11"/>
        <color theme="1"/>
        <rFont val="Calibri"/>
        <family val="2"/>
        <scheme val="minor"/>
      </rPr>
      <t>Annual Report 2017: Inspiring Our People to Improve Their Lives</t>
    </r>
    <r>
      <rPr>
        <sz val="11"/>
        <color theme="1"/>
        <rFont val="Calibri"/>
        <family val="2"/>
        <scheme val="minor"/>
      </rPr>
      <t>, p. 180.</t>
    </r>
  </si>
  <si>
    <r>
      <t xml:space="preserve">TDM (2019, May), </t>
    </r>
    <r>
      <rPr>
        <i/>
        <sz val="11"/>
        <color theme="1"/>
        <rFont val="Calibri"/>
        <family val="2"/>
        <scheme val="minor"/>
      </rPr>
      <t>Annual Report 2018: Moving Forward to a Sustainable Future</t>
    </r>
    <r>
      <rPr>
        <sz val="11"/>
        <color theme="1"/>
        <rFont val="Calibri"/>
        <family val="2"/>
        <scheme val="minor"/>
      </rPr>
      <t>, p. 260, 262.</t>
    </r>
  </si>
  <si>
    <t>TDM Capital</t>
  </si>
  <si>
    <t xml:space="preserve">TDM Capital is a financing vehicle, therefore group level adjusters are applied. Segment additions to non-current assets. TDM has three reportable operating segments: Plantation; Healthcare, and; Others. The palm oil adjuster is based on the Plantation segment as this is primarily engaged in palm oil and related products. </t>
  </si>
  <si>
    <t>TH Group</t>
  </si>
  <si>
    <t>TH Plantations Bhd</t>
  </si>
  <si>
    <t>Segment additions to non-current assets / capital expenditures. TH Plantations has two reportable operating segments: Oil Palm Plantations and Management Services. The palm oil adjuter is based on the Oil Palm Plantations.</t>
  </si>
  <si>
    <r>
      <t xml:space="preserve">TH Plantations (2013, April), </t>
    </r>
    <r>
      <rPr>
        <i/>
        <sz val="11"/>
        <color theme="1"/>
        <rFont val="Calibri"/>
        <family val="2"/>
        <scheme val="minor"/>
      </rPr>
      <t>Annual Report 2013: Reaching for Greater Heights</t>
    </r>
    <r>
      <rPr>
        <sz val="11"/>
        <color theme="1"/>
        <rFont val="Calibri"/>
        <family val="2"/>
        <scheme val="minor"/>
      </rPr>
      <t>, p. 194-195.</t>
    </r>
  </si>
  <si>
    <t>Segment additions to non-current assets / capital expenditures. TH Plantations has three reportable operating segments: Oil Palm Business; Management Services, and Rubber Plantations. The palm oil adjuter is based on the Oil Palm Business. The timber adjuster is based on the Rubber Plantations segment as this is engaged in the selling of timber tree.</t>
  </si>
  <si>
    <r>
      <t xml:space="preserve">TH Plantations (2015, April), </t>
    </r>
    <r>
      <rPr>
        <i/>
        <sz val="11"/>
        <color theme="1"/>
        <rFont val="Calibri"/>
        <family val="2"/>
        <scheme val="minor"/>
      </rPr>
      <t>Annual Report 2014: Cultivating Growth</t>
    </r>
    <r>
      <rPr>
        <sz val="11"/>
        <color theme="1"/>
        <rFont val="Calibri"/>
        <family val="2"/>
        <scheme val="minor"/>
      </rPr>
      <t>, p. 150-151.</t>
    </r>
  </si>
  <si>
    <t>Segment additions to non-current assets / capital expenditures. TH Plantations has three reportable operating segments: Oil Palm Business; Management Services, and Forestry. The palm oil adjuter is based on the Oil Palm Business. The timber adjuster is based on the Forestry segment as this is engaged in the harvesting of rubberwood since the latex price was considered too low to tap rubber.</t>
  </si>
  <si>
    <r>
      <t xml:space="preserve">TH Plantations (2017, April), </t>
    </r>
    <r>
      <rPr>
        <i/>
        <sz val="11"/>
        <color theme="1"/>
        <rFont val="Calibri"/>
        <family val="2"/>
        <scheme val="minor"/>
      </rPr>
      <t>Annual Report 2016: Committed to a Sustainable Future</t>
    </r>
    <r>
      <rPr>
        <sz val="11"/>
        <color theme="1"/>
        <rFont val="Calibri"/>
        <family val="2"/>
        <scheme val="minor"/>
      </rPr>
      <t>, p. 136, 164.</t>
    </r>
  </si>
  <si>
    <r>
      <t xml:space="preserve">TH Plantations (2018, April), </t>
    </r>
    <r>
      <rPr>
        <i/>
        <sz val="11"/>
        <color theme="1"/>
        <rFont val="Calibri"/>
        <family val="2"/>
        <scheme val="minor"/>
      </rPr>
      <t>Annual Report 2017: Embedding Sustainable Values</t>
    </r>
    <r>
      <rPr>
        <sz val="11"/>
        <color theme="1"/>
        <rFont val="Calibri"/>
        <family val="2"/>
        <scheme val="minor"/>
      </rPr>
      <t>, p. 186.</t>
    </r>
  </si>
  <si>
    <r>
      <t xml:space="preserve">TH Plantations (2019, April), </t>
    </r>
    <r>
      <rPr>
        <i/>
        <sz val="11"/>
        <color theme="1"/>
        <rFont val="Calibri"/>
        <family val="2"/>
        <scheme val="minor"/>
      </rPr>
      <t>Annual Report 2018</t>
    </r>
    <r>
      <rPr>
        <sz val="11"/>
        <color theme="1"/>
        <rFont val="Calibri"/>
        <family val="2"/>
        <scheme val="minor"/>
      </rPr>
      <t>, p. 186.</t>
    </r>
  </si>
  <si>
    <t>THP SURIA MEKAR SDN</t>
  </si>
  <si>
    <t>THP Suria Mekar is a special purpose financing vehicle. Segment additions to non-current assets / capital expenditures. Therefore, group level adjusters are applied. TH Plantations has three reportable operating segments: Oil Palm Business; Management Services, and Forestry. The palm oil adjuter is based on the Oil Palm Business. The timber adjuster is based on the Forestry segment as this is engaged in the harvesting of rubberwood since the latex price was considered too low to tap rubber.</t>
  </si>
  <si>
    <r>
      <t xml:space="preserve">TH Plantations (2017, April), </t>
    </r>
    <r>
      <rPr>
        <i/>
        <sz val="11"/>
        <color theme="1"/>
        <rFont val="Calibri"/>
        <family val="2"/>
        <scheme val="minor"/>
      </rPr>
      <t>Annual Report 2016: Committed to a Sustainable Future</t>
    </r>
    <r>
      <rPr>
        <sz val="11"/>
        <color theme="1"/>
        <rFont val="Calibri"/>
        <family val="2"/>
        <scheme val="minor"/>
      </rPr>
      <t>, p. 136, 140, 164.</t>
    </r>
  </si>
  <si>
    <t>THP Suria Mekar Sdn Bhd</t>
  </si>
  <si>
    <t>Thai Hua Rubber</t>
  </si>
  <si>
    <t>Thai Hua Rubber PCL</t>
  </si>
  <si>
    <t>Thai Hua Rubber is a pure play rubber company.</t>
  </si>
  <si>
    <t>Thai Hua Rubber (n.d.), "Home", online: http://www.thaihua.com/v5/, viewed in April 2017.</t>
  </si>
  <si>
    <t>Tianjin Julong</t>
  </si>
  <si>
    <t>Tianjin Juwei Grain and Oil Industry</t>
  </si>
  <si>
    <t>"Tianjin Julong Group, the leader of China’s oil palm industry as well as the world’s first palm oil processor that achieves the “Green Food” certificate, owns the highest palm oil market share in China"</t>
  </si>
  <si>
    <t>Tianjin Julong (n.d.), "About us", online: http://www.julongchina.com/en/company.asp?g=1, viewed in September 2019.</t>
  </si>
  <si>
    <t>Tirta Mahakam Resources</t>
  </si>
  <si>
    <t>Tirta Mahakam Resources is engaged purely in the timber segment.</t>
  </si>
  <si>
    <r>
      <t xml:space="preserve">Tirta Mahakam Resources (2017, March), </t>
    </r>
    <r>
      <rPr>
        <i/>
        <sz val="11"/>
        <color theme="1"/>
        <rFont val="Calibri"/>
        <family val="2"/>
        <scheme val="minor"/>
      </rPr>
      <t>Financial Statements as of December 31, 2016 and For The Year Then Ended With Independent Auditors’ Report (Indonesian Rupiah Currency)</t>
    </r>
    <r>
      <rPr>
        <sz val="11"/>
        <color theme="1"/>
        <rFont val="Calibri"/>
        <family val="2"/>
        <scheme val="minor"/>
      </rPr>
      <t>.</t>
    </r>
  </si>
  <si>
    <t>"The Company’s main products are: Floorbase, General Plywood, Concrete Panel, Structure Panel, Barecore, Blockboard, Polyester Plywood and Polyester Blockboard." The Timber adjuster is therefore set at 100%</t>
  </si>
  <si>
    <r>
      <t xml:space="preserve">Tirta Mahakam Resources (2019, April), </t>
    </r>
    <r>
      <rPr>
        <i/>
        <sz val="11"/>
        <color theme="1"/>
        <rFont val="Calibri"/>
        <family val="2"/>
        <scheme val="minor"/>
      </rPr>
      <t>Annual Report 2018</t>
    </r>
    <r>
      <rPr>
        <sz val="11"/>
        <color theme="1"/>
        <rFont val="Calibri"/>
        <family val="2"/>
        <scheme val="minor"/>
      </rPr>
      <t>, p. 14.</t>
    </r>
  </si>
  <si>
    <t>Tirta Mahakam Resources Tbk PT</t>
  </si>
  <si>
    <t>Toba Bara Sejahtra Group</t>
  </si>
  <si>
    <t>Highland Strategic Hldg Pte</t>
  </si>
  <si>
    <t>PT Toba Bara Sejahtra Tbk</t>
  </si>
  <si>
    <t xml:space="preserve">Segment liabilities. Toba Bara Sejahtra has three reportable operating segments: Mining; IPP, and; Plantation. The Palm oil adjuster is based upon the Plantation/Others segment. </t>
  </si>
  <si>
    <r>
      <t xml:space="preserve">Toba Bara Sejahtra (2019, May), </t>
    </r>
    <r>
      <rPr>
        <i/>
        <sz val="11"/>
        <color theme="1"/>
        <rFont val="Calibri"/>
        <family val="2"/>
        <scheme val="minor"/>
      </rPr>
      <t>Annual Report 2018: Pursuing Sustainable and Balanced Growth</t>
    </r>
    <r>
      <rPr>
        <sz val="11"/>
        <color theme="1"/>
        <rFont val="Calibri"/>
        <family val="2"/>
        <scheme val="minor"/>
      </rPr>
      <t>, p. FS-327.</t>
    </r>
  </si>
  <si>
    <t>Toba Bara Sejahtra</t>
  </si>
  <si>
    <t xml:space="preserve">Segment capital expenditures. Toba Bara Sejahtra has three reportable operating segments: Mining; IPP, and; Plantation. The Palm oil adjuster is based upon the Plantation segment. </t>
  </si>
  <si>
    <r>
      <t xml:space="preserve">Toba Bara Sejahtra (2015, March), </t>
    </r>
    <r>
      <rPr>
        <i/>
        <sz val="11"/>
        <color theme="1"/>
        <rFont val="Calibri"/>
        <family val="2"/>
        <scheme val="minor"/>
      </rPr>
      <t>Consolidated Financial Statements for the Year Ended 31 December, 2014</t>
    </r>
    <r>
      <rPr>
        <sz val="11"/>
        <color theme="1"/>
        <rFont val="Calibri"/>
        <family val="2"/>
        <scheme val="minor"/>
      </rPr>
      <t>, p. 105.</t>
    </r>
  </si>
  <si>
    <t xml:space="preserve">Segment assets. Toba Bara Sejahtra has three reportable operating segments: Mining; IPP, and; Others. In the description of its activities, TBS states "The Group operating segments are coal mining, IPP and plantation." Therefore, it is assumed that Other refers to plantation and hence palm oil. The Palm oil adjuster is therefore based upon the Other segment. </t>
  </si>
  <si>
    <r>
      <t xml:space="preserve">Toba Bara Sejahtra (2018, May), </t>
    </r>
    <r>
      <rPr>
        <i/>
        <sz val="11"/>
        <color theme="1"/>
        <rFont val="Calibri"/>
        <family val="2"/>
        <scheme val="minor"/>
      </rPr>
      <t>Annual Report 2017: Sharp Focus to Sustainable Growth</t>
    </r>
    <r>
      <rPr>
        <sz val="11"/>
        <color theme="1"/>
        <rFont val="Calibri"/>
        <family val="2"/>
        <scheme val="minor"/>
      </rPr>
      <t>, p. FS-114.</t>
    </r>
  </si>
  <si>
    <t>TOBA BARA SEJAHTRA TBK</t>
  </si>
  <si>
    <t>Top Glove</t>
  </si>
  <si>
    <t>Top Care Sdn Bhd</t>
  </si>
  <si>
    <t>Top Glove is a rubber glove manufacturer with operations throughout the rubber supply chain. Due to this it reports geographical segments rather than business segments.</t>
  </si>
  <si>
    <r>
      <t xml:space="preserve">Top Glove (2018, November), </t>
    </r>
    <r>
      <rPr>
        <i/>
        <sz val="11"/>
        <color theme="1"/>
        <rFont val="Calibri"/>
        <family val="2"/>
        <scheme val="minor"/>
      </rPr>
      <t>Annual Report 2018</t>
    </r>
    <r>
      <rPr>
        <sz val="11"/>
        <color theme="1"/>
        <rFont val="Calibri"/>
        <family val="2"/>
        <scheme val="minor"/>
      </rPr>
      <t>, p. 181-182</t>
    </r>
    <r>
      <rPr>
        <i/>
        <sz val="11"/>
        <color theme="1"/>
        <rFont val="Calibri"/>
        <family val="2"/>
        <scheme val="minor"/>
      </rPr>
      <t xml:space="preserve">. </t>
    </r>
  </si>
  <si>
    <t>TOP GLOVE CORP BHD</t>
  </si>
  <si>
    <t xml:space="preserve">Top Glove is a rubber glove manufacturer with operations throughout the rubber supply chain. </t>
  </si>
  <si>
    <r>
      <t xml:space="preserve">Top Glove (2016, November), </t>
    </r>
    <r>
      <rPr>
        <i/>
        <sz val="11"/>
        <color theme="1"/>
        <rFont val="Calibri"/>
        <family val="2"/>
        <scheme val="minor"/>
      </rPr>
      <t xml:space="preserve">Annual Report 2016. </t>
    </r>
  </si>
  <si>
    <t>Top Glove Corporation Bhd</t>
  </si>
  <si>
    <t>Top Glove Corp Bhd</t>
  </si>
  <si>
    <t>TOP GLOVE LABUAN LTD</t>
  </si>
  <si>
    <t>Toyo Materia</t>
  </si>
  <si>
    <t>Toyo Materia Corp</t>
  </si>
  <si>
    <t>TPS Group</t>
  </si>
  <si>
    <t>Tiga Pilar Sejahtera Group</t>
  </si>
  <si>
    <t>Bailangu Capital Investment</t>
  </si>
  <si>
    <t>Bumiraya Investindo is a palm oil plantation company.</t>
  </si>
  <si>
    <r>
      <t xml:space="preserve">Tiga Pilar Sejahtera (2015, April), </t>
    </r>
    <r>
      <rPr>
        <i/>
        <sz val="11"/>
        <color theme="1"/>
        <rFont val="Calibri"/>
        <family val="2"/>
        <scheme val="minor"/>
      </rPr>
      <t>Consolidated Financial Statements for the Years Ended December 31, 2014 and 2013</t>
    </r>
    <r>
      <rPr>
        <sz val="11"/>
        <color theme="1"/>
        <rFont val="Calibri"/>
        <family val="2"/>
        <scheme val="minor"/>
      </rPr>
      <t>, p. 8.</t>
    </r>
  </si>
  <si>
    <t>Tiga Pilar Sejahtera Food</t>
  </si>
  <si>
    <t>Bumi Raya Investindo PT</t>
  </si>
  <si>
    <t>Bumiraya Investindo</t>
  </si>
  <si>
    <t>Dunia Pangan</t>
  </si>
  <si>
    <t>Rice mill and trading company</t>
  </si>
  <si>
    <r>
      <t xml:space="preserve">Tiga Pilar Sejahtera (2012, April), </t>
    </r>
    <r>
      <rPr>
        <i/>
        <sz val="11"/>
        <color theme="1"/>
        <rFont val="Calibri"/>
        <family val="2"/>
        <scheme val="minor"/>
      </rPr>
      <t>Consolidated Financial Statements for the Years Ended December 31, 2011 and 2010</t>
    </r>
    <r>
      <rPr>
        <sz val="11"/>
        <color theme="1"/>
        <rFont val="Calibri"/>
        <family val="2"/>
        <scheme val="minor"/>
      </rPr>
      <t>, p. 13.</t>
    </r>
  </si>
  <si>
    <t>Golden Plantation PT</t>
  </si>
  <si>
    <t>Golden Plantation is a palm oil plantation company.</t>
  </si>
  <si>
    <t>Indo Beras Unggul</t>
  </si>
  <si>
    <t>Jatisari Srirejeki</t>
  </si>
  <si>
    <t>Patra Power Nusantara</t>
  </si>
  <si>
    <t>Power plant</t>
  </si>
  <si>
    <t>Persada Alam Hijau</t>
  </si>
  <si>
    <r>
      <t xml:space="preserve">Tiga Pilar Sejahtera Group (2016, November), </t>
    </r>
    <r>
      <rPr>
        <i/>
        <sz val="11"/>
        <color theme="1"/>
        <rFont val="Calibri"/>
        <family val="2"/>
        <scheme val="minor"/>
      </rPr>
      <t>Interim Consolidated Financial Statements as of September 30, 2016 (Unaudited) and December 31, 2015 and the 9 (Nine) Months Period Ended September 30, 2016 and 2015 (Unaudited, Respectively)</t>
    </r>
    <r>
      <rPr>
        <sz val="11"/>
        <color theme="1"/>
        <rFont val="Calibri"/>
        <family val="2"/>
        <scheme val="minor"/>
      </rPr>
      <t>, p. 9.</t>
    </r>
  </si>
  <si>
    <t>Golden Plantation</t>
  </si>
  <si>
    <t>Only engaged in palm oil.</t>
  </si>
  <si>
    <r>
      <t xml:space="preserve">Golden Plantation (2018, April), </t>
    </r>
    <r>
      <rPr>
        <i/>
        <sz val="11"/>
        <color theme="1"/>
        <rFont val="Calibri"/>
        <family val="2"/>
        <scheme val="minor"/>
      </rPr>
      <t>Determination and Tenacity: Annual Report 2017.</t>
    </r>
  </si>
  <si>
    <t>Poly Meditra Indonesia</t>
  </si>
  <si>
    <t>Snack manufacturing</t>
  </si>
  <si>
    <t>PT Airlangga Sawit Jaya (ASJ), PT Charindo Palma Oetama (CPO)</t>
  </si>
  <si>
    <r>
      <t xml:space="preserve">Tiga Pilar Sejahtera (2012, April), </t>
    </r>
    <r>
      <rPr>
        <i/>
        <sz val="11"/>
        <color theme="1"/>
        <rFont val="Calibri"/>
        <family val="2"/>
        <scheme val="minor"/>
      </rPr>
      <t>Consolidated Financial Statements for the Years Ended December 31, 2011 and 2010</t>
    </r>
    <r>
      <rPr>
        <sz val="11"/>
        <color theme="1"/>
        <rFont val="Calibri"/>
        <family val="2"/>
        <scheme val="minor"/>
      </rPr>
      <t>, p.8.</t>
    </r>
  </si>
  <si>
    <t>PT Bumiraya Investindo (BRI), PT Airlangga Sawit Jaya (ASJ), PT Charindo Palma Oetama (CPO), PT Mitra Jaya Agro Palm (MJAP), PT Muarobungo Plantation (MBP) and PT Tandan Abadi Mandiri (TAM)</t>
  </si>
  <si>
    <t>Palm oil companies</t>
  </si>
  <si>
    <t>Putra Taro Paloma</t>
  </si>
  <si>
    <t>Subafood Pangan Jaya</t>
  </si>
  <si>
    <t>Sukses Abadi Karya Inti</t>
  </si>
  <si>
    <t>Rice</t>
  </si>
  <si>
    <t>Sukses Abadi Karya Inti (SAKTI), Indo Beras Unggul (IBU), Jatisari Sri Rejeki (JS)</t>
  </si>
  <si>
    <t>TIGA PILAR SEJAHTERA FOOD</t>
  </si>
  <si>
    <t>Segment capital expenditures. Tiga Pilar Sejahtera has four reportable operating segments: Food Manufacturing; Rice; Agribusiness, and; Others. The palm oil adjuster is based on the Agribusiness segment as this is primarily engaged in the palm oil supply chain.</t>
  </si>
  <si>
    <r>
      <t xml:space="preserve">Tiga Pilar Sejahtera Food (2018, June), </t>
    </r>
    <r>
      <rPr>
        <i/>
        <sz val="11"/>
        <color theme="1"/>
        <rFont val="Calibri"/>
        <family val="2"/>
        <scheme val="minor"/>
      </rPr>
      <t>Consolidated Financial Statements for the Years Ended December 31, 2017 and 2016</t>
    </r>
    <r>
      <rPr>
        <sz val="11"/>
        <color theme="1"/>
        <rFont val="Calibri"/>
        <family val="2"/>
        <scheme val="minor"/>
      </rPr>
      <t>, p. 82-83.</t>
    </r>
  </si>
  <si>
    <t>Tiga Pilar Sejahtera Food Tbk PT</t>
  </si>
  <si>
    <r>
      <t xml:space="preserve">Tiga Pilar Sejahtera (2012, April), </t>
    </r>
    <r>
      <rPr>
        <i/>
        <sz val="11"/>
        <color theme="1"/>
        <rFont val="Calibri"/>
        <family val="2"/>
        <scheme val="minor"/>
      </rPr>
      <t>Consolidated Financial Statements for the Years Ended December 31, 2011 and 2010</t>
    </r>
    <r>
      <rPr>
        <sz val="11"/>
        <color theme="1"/>
        <rFont val="Calibri"/>
        <family val="2"/>
        <scheme val="minor"/>
      </rPr>
      <t>, p. 70.</t>
    </r>
  </si>
  <si>
    <r>
      <t xml:space="preserve">Tiga Pilar Sejahtera (2015, April), </t>
    </r>
    <r>
      <rPr>
        <i/>
        <sz val="11"/>
        <color theme="1"/>
        <rFont val="Calibri"/>
        <family val="2"/>
        <scheme val="minor"/>
      </rPr>
      <t>Consolidated Financial Statements for the Years Ended December 31, 2014 and 2013</t>
    </r>
    <r>
      <rPr>
        <sz val="11"/>
        <color theme="1"/>
        <rFont val="Calibri"/>
        <family val="2"/>
        <scheme val="minor"/>
      </rPr>
      <t>, p. 79.</t>
    </r>
  </si>
  <si>
    <t>Segment liabilities. Tiga Pilar Sejahtera has four reportable operating segments: Food Manufacturing; Rice; Agribusiness, and; Others. The palm oil adjuster is based on the Agribusiness segment as this is primarily engaged in the palm oil supply chain.</t>
  </si>
  <si>
    <r>
      <t xml:space="preserve">Tiga Pilar Sejahtera (2016, November), </t>
    </r>
    <r>
      <rPr>
        <i/>
        <sz val="11"/>
        <color theme="1"/>
        <rFont val="Calibri"/>
        <family val="2"/>
        <scheme val="minor"/>
      </rPr>
      <t>Interim Consolidated Financial Statements as of September 30, 2016 (Unaudited) And December 31, 2015 and for the 9 (Nine) Months Period Ended September 30, 2016 and 2015 (Unaudited, Respectively)</t>
    </r>
    <r>
      <rPr>
        <sz val="11"/>
        <color theme="1"/>
        <rFont val="Calibri"/>
        <family val="2"/>
        <scheme val="minor"/>
      </rPr>
      <t>, p. 102.</t>
    </r>
  </si>
  <si>
    <t>Triputra Group</t>
  </si>
  <si>
    <t>Triputra Agro Persada PT</t>
  </si>
  <si>
    <t>Agro Multi Persada PT</t>
  </si>
  <si>
    <t>Triputra Agro Persada is a large private palm oil company.</t>
  </si>
  <si>
    <t>Triputra Agro Persada (n.d.), "Home", online: http://www.tap-agri.com/, viewed in April 2017.</t>
  </si>
  <si>
    <t>Triputra Agro Persada</t>
  </si>
  <si>
    <t>PT Triputra Investindo Arya</t>
  </si>
  <si>
    <t>Kirana Megatara</t>
  </si>
  <si>
    <t>Kirana Megatera has two reportable business segments: Crumb rubber factory, and; agro business. It seems that agro business refers only to palm oil, while crumb rubber factor refers to both rubber plantations as the processing facilities. Therefore, the rubber adjuster is based on the segment assets of crumb rubber factory, while the palm oil adjuster is based on the agro business segment assets.</t>
  </si>
  <si>
    <r>
      <t xml:space="preserve">Kirana Megatera (2018, February), </t>
    </r>
    <r>
      <rPr>
        <i/>
        <sz val="11"/>
        <color theme="1"/>
        <rFont val="Calibri"/>
        <family val="2"/>
        <scheme val="minor"/>
      </rPr>
      <t>Consolidated Financial Statements for Year Ended 31 December 2017</t>
    </r>
    <r>
      <rPr>
        <sz val="11"/>
        <color theme="1"/>
        <rFont val="Calibri"/>
        <family val="2"/>
        <scheme val="minor"/>
      </rPr>
      <t>, p. E-113.</t>
    </r>
  </si>
  <si>
    <t>TSH Resources</t>
  </si>
  <si>
    <t>TSH Resources Bhd</t>
  </si>
  <si>
    <t>Segment additions to non-current assets / capital expenditures. TSH Resources has three reportable operating segments: Palm and Bio-Integration; Wood Product Manufacturing and Trading and Reforestation, and; Others. The palm oil adjuster is based on the Palm and Bio-Integration segment. The timber adjuster is based on the Wood Product Manufacturing and Trading and Reforestation adjuster.</t>
  </si>
  <si>
    <r>
      <t xml:space="preserve">TSH Resources (2014, April), </t>
    </r>
    <r>
      <rPr>
        <i/>
        <sz val="11"/>
        <color theme="1"/>
        <rFont val="Calibri"/>
        <family val="2"/>
        <scheme val="minor"/>
      </rPr>
      <t>Annual Report 2013</t>
    </r>
    <r>
      <rPr>
        <sz val="11"/>
        <color theme="1"/>
        <rFont val="Calibri"/>
        <family val="2"/>
        <scheme val="minor"/>
      </rPr>
      <t>, p. 159-160.</t>
    </r>
  </si>
  <si>
    <r>
      <t xml:space="preserve">TSH Resources (2016, April), </t>
    </r>
    <r>
      <rPr>
        <i/>
        <sz val="11"/>
        <color theme="1"/>
        <rFont val="Calibri"/>
        <family val="2"/>
        <scheme val="minor"/>
      </rPr>
      <t>Annual Report 2015</t>
    </r>
    <r>
      <rPr>
        <sz val="11"/>
        <color theme="1"/>
        <rFont val="Calibri"/>
        <family val="2"/>
        <scheme val="minor"/>
      </rPr>
      <t>, p. 177-178.</t>
    </r>
  </si>
  <si>
    <t>Segment additions to non-current assets. TSH Resources has two reportable operating segments: Palm Product and Others. The palm oil adjuster is based on the Palm Product segment.</t>
  </si>
  <si>
    <r>
      <t xml:space="preserve">TSH Resources (2018, April), </t>
    </r>
    <r>
      <rPr>
        <i/>
        <sz val="11"/>
        <color theme="1"/>
        <rFont val="Calibri"/>
        <family val="2"/>
        <scheme val="minor"/>
      </rPr>
      <t>Annual Report 2017</t>
    </r>
    <r>
      <rPr>
        <sz val="11"/>
        <color theme="1"/>
        <rFont val="Calibri"/>
        <family val="2"/>
        <scheme val="minor"/>
      </rPr>
      <t>, p. 85.</t>
    </r>
  </si>
  <si>
    <t>Segment additions to non-current assets. TSH Resources has two reportable operating segments: Palm Product and Others. The palm oil adjuster is based on the Palm Product segment as well as the proportion of revenues of the Others segment derived from Supply of electricity as the fuel stock is biomass. The Others segment includes: Wood products; Ramet; Timber and Latex; Cocoa beans and Cocoa products; Installation services, and; Supply of electricity. The Timber adjuster is based on Others segment corrected for proportions of revenues from Wood products and Timber and Latex.</t>
  </si>
  <si>
    <r>
      <t xml:space="preserve">TSH Resources (2019, April), </t>
    </r>
    <r>
      <rPr>
        <i/>
        <sz val="11"/>
        <color theme="1"/>
        <rFont val="Calibri"/>
        <family val="2"/>
        <scheme val="minor"/>
      </rPr>
      <t>Annual Report 2018</t>
    </r>
    <r>
      <rPr>
        <sz val="11"/>
        <color theme="1"/>
        <rFont val="Calibri"/>
        <family val="2"/>
        <scheme val="minor"/>
      </rPr>
      <t>, p. 102-103, 111.</t>
    </r>
  </si>
  <si>
    <t>TSH SUKUK IJARAH SDN</t>
  </si>
  <si>
    <t>Segment additions to non-current assets / capital expenditures. TSH Sukuk Ijarah is a financing vehicle, therefore group level adjusters are applied. TSH Resources has three reportable operating segments: Palm and Bio-Integration; Wood Product Manufacturing and Trading and Reforestation, and; Others. The palm oil adjuster is based on the Palm and Bio-Integration segment. The timber adjuster is based on the Wood Product Manufacturing and Trading and Reforestation adjuster.</t>
  </si>
  <si>
    <t>Segment additions to non-current assets. TSH Sukuk Ijarah is a financing vehicle, therefore group level adjusters are applied. TSH Resources has two reportable operating segments: Palm Product and Others. The palm oil adjuster is based on the Palm Product segment.</t>
  </si>
  <si>
    <t>Segment additions to non-current assets. TSH Sukuk Ijarah is a financing vehicle, therefore group level adjusters are applied. TSH Resources has two reportable operating segments: Palm Product and Others. The palm oil adjuster is based on the Palm Product segment as well as the proportion of revenues of the Others segment derived from Supply of electricity as the fuel stock is biomass. The Others segment includes: Wood products; Ramet; Timber and Latex; Cocoa beans and Cocoa products; Installation services, and; Supply of electricity. The Timber adjuster is based on Others segment corrected for proportions of revenues from Wood products and Timber and Latex.</t>
  </si>
  <si>
    <t>TSH Sukuk Ijarah Sdn Bhd</t>
  </si>
  <si>
    <r>
      <t xml:space="preserve">TSH Resources (2012, April), </t>
    </r>
    <r>
      <rPr>
        <i/>
        <sz val="11"/>
        <color theme="1"/>
        <rFont val="Calibri"/>
        <family val="2"/>
        <scheme val="minor"/>
      </rPr>
      <t>Annual Report 2011</t>
    </r>
    <r>
      <rPr>
        <sz val="11"/>
        <color theme="1"/>
        <rFont val="Calibri"/>
        <family val="2"/>
        <scheme val="minor"/>
      </rPr>
      <t>, p. 149.</t>
    </r>
  </si>
  <si>
    <r>
      <t xml:space="preserve">TSH Resources (2016, April), </t>
    </r>
    <r>
      <rPr>
        <i/>
        <sz val="11"/>
        <color theme="1"/>
        <rFont val="Calibri"/>
        <family val="2"/>
        <scheme val="minor"/>
      </rPr>
      <t>Annual Report 2015</t>
    </r>
    <r>
      <rPr>
        <sz val="11"/>
        <color theme="1"/>
        <rFont val="Calibri"/>
        <family val="2"/>
        <scheme val="minor"/>
      </rPr>
      <t>, p. 125, 177-178.</t>
    </r>
  </si>
  <si>
    <t>TSH SUKUK MURABAHAH SDN</t>
  </si>
  <si>
    <t>TSH Sukuk Murabahah Sdn Bhd</t>
  </si>
  <si>
    <t>Segment additions to non-current assets. TSH Sukuk Murabahah is a financing vehicle, therefore group level adjusters are applied. TSH Resources has two reportable operating segments: Palm Product and Others. The palm oil adjuster is based on the Palm Product segment.</t>
  </si>
  <si>
    <t>TSH SUKUK MUSYARAKAH SDN</t>
  </si>
  <si>
    <t>Segment additions to non-current assets / capital expenditures. TSH Sukuk Musyarakah is a financing vehicle, therefore group level adjusters are applied. TSH Resources has three reportable operating segments: Palm and Bio-Integration; Wood Product Manufacturing and Trading and Reforestation, and; Others. The palm oil adjuster is based on the Palm and Bio-Integration segment. The timber adjuster is based on the Wood Product Manufacturing and Trading and Reforestation adjuster.</t>
  </si>
  <si>
    <t>TSH Sukuk Musyarakah Sdn Bhd</t>
  </si>
  <si>
    <t>United International Enterprises</t>
  </si>
  <si>
    <t>United International Enterprises Ltd</t>
  </si>
  <si>
    <t>Segment liabilities. United International Enterprises has two reportable operating segments: UIE and UP. UIE is an investment holding company which primarily invests in agro-industrial companies. UP (United Plantations) is incorporated in Malaysia Its primary business activity is cultivation and processing of oil palms and coconuts on plantations in Malaysia as well as palm oil cultivation and processing in Indonesia and the manufacturing and processing of oils and fats in Malaysia. The palm oil adjuster is United Plantations segment adjuster applied to the proportion of United Plantations within the total of United International Enterprises.</t>
  </si>
  <si>
    <r>
      <t xml:space="preserve">United International Enterprises (2017, March), </t>
    </r>
    <r>
      <rPr>
        <i/>
        <sz val="11"/>
        <color theme="1"/>
        <rFont val="Calibri"/>
        <family val="2"/>
        <scheme val="minor"/>
      </rPr>
      <t>Annual Report 2016</t>
    </r>
    <r>
      <rPr>
        <sz val="11"/>
        <color theme="1"/>
        <rFont val="Calibri"/>
        <family val="2"/>
        <scheme val="minor"/>
      </rPr>
      <t xml:space="preserve">, p. 4, 52; United Plantations (2016, March), </t>
    </r>
    <r>
      <rPr>
        <i/>
        <sz val="11"/>
        <color theme="1"/>
        <rFont val="Calibri"/>
        <family val="2"/>
        <scheme val="minor"/>
      </rPr>
      <t>Annual Report 2015</t>
    </r>
    <r>
      <rPr>
        <sz val="11"/>
        <color theme="1"/>
        <rFont val="Calibri"/>
        <family val="2"/>
        <scheme val="minor"/>
      </rPr>
      <t>, p. 194-195, 225.</t>
    </r>
  </si>
  <si>
    <r>
      <t xml:space="preserve">United International Enterprises (2017, March), </t>
    </r>
    <r>
      <rPr>
        <i/>
        <sz val="11"/>
        <color theme="1"/>
        <rFont val="Calibri"/>
        <family val="2"/>
        <scheme val="minor"/>
      </rPr>
      <t>Annual Report 2016</t>
    </r>
    <r>
      <rPr>
        <sz val="11"/>
        <color theme="1"/>
        <rFont val="Calibri"/>
        <family val="2"/>
        <scheme val="minor"/>
      </rPr>
      <t xml:space="preserve">, p. 4, 52; United Plantations (2017, February), </t>
    </r>
    <r>
      <rPr>
        <i/>
        <sz val="11"/>
        <color theme="1"/>
        <rFont val="Calibri"/>
        <family val="2"/>
        <scheme val="minor"/>
      </rPr>
      <t>Annual Report 2016</t>
    </r>
    <r>
      <rPr>
        <sz val="11"/>
        <color theme="1"/>
        <rFont val="Calibri"/>
        <family val="2"/>
        <scheme val="minor"/>
      </rPr>
      <t>, p. 244-245, 281.</t>
    </r>
  </si>
  <si>
    <r>
      <t xml:space="preserve">United International Enterprises (2018, March), </t>
    </r>
    <r>
      <rPr>
        <i/>
        <sz val="11"/>
        <color theme="1"/>
        <rFont val="Calibri"/>
        <family val="2"/>
        <scheme val="minor"/>
      </rPr>
      <t>Annual Report 2017</t>
    </r>
    <r>
      <rPr>
        <sz val="11"/>
        <color theme="1"/>
        <rFont val="Calibri"/>
        <family val="2"/>
        <scheme val="minor"/>
      </rPr>
      <t>, p. 83.</t>
    </r>
  </si>
  <si>
    <r>
      <t xml:space="preserve">United International Enterprises (2019, March), </t>
    </r>
    <r>
      <rPr>
        <i/>
        <sz val="11"/>
        <color theme="1"/>
        <rFont val="Calibri"/>
        <family val="2"/>
        <scheme val="minor"/>
      </rPr>
      <t>Annual Report 2018</t>
    </r>
    <r>
      <rPr>
        <sz val="11"/>
        <color theme="1"/>
        <rFont val="Calibri"/>
        <family val="2"/>
        <scheme val="minor"/>
      </rPr>
      <t>, p. 62.</t>
    </r>
  </si>
  <si>
    <t>United Malacca Group</t>
  </si>
  <si>
    <t>United Malacca Bhd</t>
  </si>
  <si>
    <t>United Malacca Berhad has two reportable operating segments: Plantation and Investment Holding. As both segments are primarily engaged in the exploitation of palm oil, either directly or indirectly, the palm oil adjuster is set at 100%.</t>
  </si>
  <si>
    <r>
      <t xml:space="preserve">United Malacca Berhad (2016, August), </t>
    </r>
    <r>
      <rPr>
        <i/>
        <sz val="11"/>
        <color theme="1"/>
        <rFont val="Calibri"/>
        <family val="2"/>
        <scheme val="minor"/>
      </rPr>
      <t>Annual Report 2016</t>
    </r>
    <r>
      <rPr>
        <sz val="11"/>
        <color theme="1"/>
        <rFont val="Calibri"/>
        <family val="2"/>
        <scheme val="minor"/>
      </rPr>
      <t>, p. 128, 152.</t>
    </r>
  </si>
  <si>
    <r>
      <t xml:space="preserve">United Malacca Berhad (2019, July), </t>
    </r>
    <r>
      <rPr>
        <i/>
        <sz val="11"/>
        <color theme="1"/>
        <rFont val="Calibri"/>
        <family val="2"/>
        <scheme val="minor"/>
      </rPr>
      <t>Annual Report 2019</t>
    </r>
    <r>
      <rPr>
        <sz val="11"/>
        <color theme="1"/>
        <rFont val="Calibri"/>
        <family val="2"/>
        <scheme val="minor"/>
      </rPr>
      <t>, p. 203.</t>
    </r>
  </si>
  <si>
    <t>United Plantations</t>
  </si>
  <si>
    <t>United Plantations Bhd</t>
  </si>
  <si>
    <t>Segment capital expenditures. United Plantations has three reportable operating segments: Plantations; Palm Oil Refining, and; Others. The palm oil adjuster is based on the Palm Refining segment, the Others segment as it relates predominantly to palm oil, and the palm oil planted area proportion of the Plantations segment.</t>
  </si>
  <si>
    <r>
      <t xml:space="preserve">United Plantations (2016, March), </t>
    </r>
    <r>
      <rPr>
        <i/>
        <sz val="11"/>
        <color theme="1"/>
        <rFont val="Calibri"/>
        <family val="2"/>
        <scheme val="minor"/>
      </rPr>
      <t>Annual Report 2015</t>
    </r>
    <r>
      <rPr>
        <sz val="11"/>
        <color theme="1"/>
        <rFont val="Calibri"/>
        <family val="2"/>
        <scheme val="minor"/>
      </rPr>
      <t>, p. 194-195, 225.</t>
    </r>
  </si>
  <si>
    <t xml:space="preserve">Segment capital expenditures. United Plantations has three reportable operating segments: Plantations; Palm Oil Refining, and; Others. The palm oil adjuster is based on the Palm Refining segment, the Others segment as it relates predominantly to palm oil, and the palm oil planted area proportion of the Plantations segment. </t>
  </si>
  <si>
    <r>
      <t xml:space="preserve">United Plantations (2018, February), </t>
    </r>
    <r>
      <rPr>
        <i/>
        <sz val="11"/>
        <color theme="1"/>
        <rFont val="Calibri"/>
        <family val="2"/>
        <scheme val="minor"/>
      </rPr>
      <t>Annual Report 2017</t>
    </r>
    <r>
      <rPr>
        <sz val="11"/>
        <color theme="1"/>
        <rFont val="Calibri"/>
        <family val="2"/>
        <scheme val="minor"/>
      </rPr>
      <t>, p. 265.</t>
    </r>
  </si>
  <si>
    <r>
      <t xml:space="preserve">United Plantations (2019, February), </t>
    </r>
    <r>
      <rPr>
        <i/>
        <sz val="11"/>
        <color theme="1"/>
        <rFont val="Calibri"/>
        <family val="2"/>
        <scheme val="minor"/>
      </rPr>
      <t>Annual Report 2019</t>
    </r>
    <r>
      <rPr>
        <sz val="11"/>
        <color theme="1"/>
        <rFont val="Calibri"/>
        <family val="2"/>
        <scheme val="minor"/>
      </rPr>
      <t>, p. 219, 240.</t>
    </r>
  </si>
  <si>
    <t>Univanich Palm Oil</t>
  </si>
  <si>
    <t>Univanich Palm Oil PCL</t>
  </si>
  <si>
    <t>Univanich Palm Oil has two reportable operating segments: Oil Palm Plantations, Palm Fruit Processing, Oil Palm Seed &amp; Seedling Business and Electric Power Plant with Methane Capture Biogas Project. The palm oil adjuster is set at 100% ast the Electric Power Plant uses waste from palm oil production as feedstock.</t>
  </si>
  <si>
    <r>
      <t>Univanich Palm Oil (2017, April),</t>
    </r>
    <r>
      <rPr>
        <i/>
        <sz val="11"/>
        <color theme="1"/>
        <rFont val="Calibri"/>
        <family val="2"/>
        <scheme val="minor"/>
      </rPr>
      <t xml:space="preserve"> Annual Report 2016</t>
    </r>
    <r>
      <rPr>
        <sz val="11"/>
        <color theme="1"/>
        <rFont val="Calibri"/>
        <family val="2"/>
        <scheme val="minor"/>
      </rPr>
      <t>, p. 123.</t>
    </r>
  </si>
  <si>
    <r>
      <t>Univanich Palm Oil (2019, April),</t>
    </r>
    <r>
      <rPr>
        <i/>
        <sz val="11"/>
        <color theme="1"/>
        <rFont val="Calibri"/>
        <family val="2"/>
        <scheme val="minor"/>
      </rPr>
      <t xml:space="preserve"> Annual Report 2018</t>
    </r>
    <r>
      <rPr>
        <sz val="11"/>
        <color theme="1"/>
        <rFont val="Calibri"/>
        <family val="2"/>
        <scheme val="minor"/>
      </rPr>
      <t>, p. 133.</t>
    </r>
  </si>
  <si>
    <t>Vietnam Rubber Group</t>
  </si>
  <si>
    <t>Berub JSC</t>
  </si>
  <si>
    <t>Ben Thanh Rubber JSC</t>
  </si>
  <si>
    <t xml:space="preserve">Ben Thanh Rubber is a rubber company subsidiary of the Vietnam Rubber Group. </t>
  </si>
  <si>
    <t>Ben Thanh Rubber (n.d.), "Home", online: http://www.berubco.com.vn/index/?lang=en, viewed in April 2017.</t>
  </si>
  <si>
    <t>Dong Phu Rubber JSC</t>
  </si>
  <si>
    <t xml:space="preserve">Dong Phu Rubber is a rubber company subsidiary of the Vietnam Rubber Group. </t>
  </si>
  <si>
    <r>
      <t xml:space="preserve">EMIS (2017, April), </t>
    </r>
    <r>
      <rPr>
        <i/>
        <sz val="11"/>
        <color theme="1"/>
        <rFont val="Calibri"/>
        <family val="2"/>
        <scheme val="minor"/>
      </rPr>
      <t>Business Report: Dong Phu Rubber</t>
    </r>
    <r>
      <rPr>
        <sz val="11"/>
        <color theme="1"/>
        <rFont val="Calibri"/>
        <family val="2"/>
        <scheme val="minor"/>
      </rPr>
      <t>, p. 3.</t>
    </r>
  </si>
  <si>
    <t>Hoa Binh Rubber JSC</t>
  </si>
  <si>
    <t xml:space="preserve">Hoa Binh Rubber is a rubber company subsidiary of the Vietnam Rubber Group. </t>
  </si>
  <si>
    <r>
      <t xml:space="preserve">EMIS (2017, April), </t>
    </r>
    <r>
      <rPr>
        <i/>
        <sz val="11"/>
        <color theme="1"/>
        <rFont val="Calibri"/>
        <family val="2"/>
        <scheme val="minor"/>
      </rPr>
      <t xml:space="preserve">Business Report: Hoa Binh Rubber </t>
    </r>
    <r>
      <rPr>
        <sz val="11"/>
        <color theme="1"/>
        <rFont val="Calibri"/>
        <family val="2"/>
        <scheme val="minor"/>
      </rPr>
      <t>, p. 3.</t>
    </r>
  </si>
  <si>
    <t>MDF VRG Quang Tri Wood JSC</t>
  </si>
  <si>
    <t xml:space="preserve">MDF VRG-Quang Tri Wood is engaged in the timber supply chain. </t>
  </si>
  <si>
    <r>
      <t xml:space="preserve">EMIS (2017, April), </t>
    </r>
    <r>
      <rPr>
        <i/>
        <sz val="11"/>
        <color theme="1"/>
        <rFont val="Calibri"/>
        <family val="2"/>
        <scheme val="minor"/>
      </rPr>
      <t>Business Report: MDF VRG-Quang Tri Wood</t>
    </r>
    <r>
      <rPr>
        <sz val="11"/>
        <color theme="1"/>
        <rFont val="Calibri"/>
        <family val="2"/>
        <scheme val="minor"/>
      </rPr>
      <t>, p. 3.</t>
    </r>
  </si>
  <si>
    <t>VRG</t>
  </si>
  <si>
    <t>MDF VRG-Quang Tri Wood JSC</t>
  </si>
  <si>
    <t>Phuoc Hoa Rubber JSC</t>
  </si>
  <si>
    <t>Phuoc Hoa Rubber is a rubber company subsidiary of the Vietnam Rubber Group. It als trades rubberwood harvested from its plantations. As the company website was malfunctioning it could not be determined what proportion of total activities related to rubberwood trading. Since rubberwood trading utilizes mature rubber trees, the rubber adjuster is set at 100%.</t>
  </si>
  <si>
    <r>
      <t xml:space="preserve">EMIS (2017, April), </t>
    </r>
    <r>
      <rPr>
        <i/>
        <sz val="11"/>
        <color theme="1"/>
        <rFont val="Calibri"/>
        <family val="2"/>
        <scheme val="minor"/>
      </rPr>
      <t>Business Report: Phuoc Hoa Rubber</t>
    </r>
    <r>
      <rPr>
        <sz val="11"/>
        <color theme="1"/>
        <rFont val="Calibri"/>
        <family val="2"/>
        <scheme val="minor"/>
      </rPr>
      <t>, p. 3.</t>
    </r>
  </si>
  <si>
    <t>Rubber Industry and Import Export JSC</t>
  </si>
  <si>
    <t>Timber and rubber adjusters are based on the proportion of products related to the relevant commodities.</t>
  </si>
  <si>
    <t>Rubber Industry and Import Export (n.d.), "Product", online: http://rubico.com.vn/san-pham/, viewed in April 2017.</t>
  </si>
  <si>
    <t>Tay Ninh Rubber JSC</t>
  </si>
  <si>
    <t xml:space="preserve">Tay Ninh Rubber is a rubber company subsidiary of the Vietnam Rubber Group. </t>
  </si>
  <si>
    <r>
      <t xml:space="preserve">EMIS (2017, April), </t>
    </r>
    <r>
      <rPr>
        <i/>
        <sz val="11"/>
        <color theme="1"/>
        <rFont val="Calibri"/>
        <family val="2"/>
        <scheme val="minor"/>
      </rPr>
      <t>Business Report: Tay Ninh Rubber</t>
    </r>
    <r>
      <rPr>
        <sz val="11"/>
        <color theme="1"/>
        <rFont val="Calibri"/>
        <family val="2"/>
        <scheme val="minor"/>
      </rPr>
      <t>, p. 3.</t>
    </r>
  </si>
  <si>
    <t>Viet Nam Rubber Industrial Zone and Urban Development JSC</t>
  </si>
  <si>
    <t>It is difficult to ascertain what proportion of Viet Nam Rubber Industrial Zone and Urban Development's activities relate to rubber. Seeing as it is a subsidiary of Vietnam Rubber Group, it is likely that at least a significant proportion of the activities exploited in the zone relate to the processing and secondary production of rubber and related products. Therefore, the rubber adjuster is set at 50%.</t>
  </si>
  <si>
    <t>Viet Nam Rubber Industrial Zone and Urban Development (n.d.), "Home", online: http://vinaruco.com.vn, viewed in April 2017.</t>
  </si>
  <si>
    <t>VIETNAM RUBBER GROUP LTD</t>
  </si>
  <si>
    <t xml:space="preserve">VRG is primarily engaged in rubber cultivation and processing. Due to a lack of segment data, the adjuster is set at 100%. </t>
  </si>
  <si>
    <t>Vietnam Rubber Group Ltd</t>
  </si>
  <si>
    <t>Wah Seong Group</t>
  </si>
  <si>
    <t>Wah Seong Corporation Bhd</t>
  </si>
  <si>
    <t>Segment assets. Wah Seong has five reportable operating segments: Oil &amp; Gas Division; Renewable Energy Division; Industrial Trading &amp; Services Division; Plantation Division, and; Others. The palm oil adjuster is based on the Plantation Division as this seems to be primarily Wah Seong's palm oil investments in the Republic of Congo.</t>
  </si>
  <si>
    <r>
      <t xml:space="preserve">Wah Seong (2016, April), </t>
    </r>
    <r>
      <rPr>
        <i/>
        <sz val="11"/>
        <color theme="1"/>
        <rFont val="Calibri"/>
        <family val="2"/>
        <scheme val="minor"/>
      </rPr>
      <t>Annual Report 2015: Sustaining Our Values</t>
    </r>
    <r>
      <rPr>
        <sz val="11"/>
        <color theme="1"/>
        <rFont val="Calibri"/>
        <family val="2"/>
        <scheme val="minor"/>
      </rPr>
      <t xml:space="preserve">, p. 144-145; Wah Seong (n.d.), "Plantation", online: http://www.wahseong.com/index.php?option=com_content&amp;view=article&amp;id=727&amp;Itemid=55, viewed in April 2017; Wah Seong (2017, February), </t>
    </r>
    <r>
      <rPr>
        <i/>
        <sz val="11"/>
        <color theme="1"/>
        <rFont val="Calibri"/>
        <family val="2"/>
        <scheme val="minor"/>
      </rPr>
      <t>Quarterly Report on Consolidated Results for the Fourth Quarter Ended 31 December 2016</t>
    </r>
    <r>
      <rPr>
        <sz val="11"/>
        <color theme="1"/>
        <rFont val="Calibri"/>
        <family val="2"/>
        <scheme val="minor"/>
      </rPr>
      <t>, p. 12</t>
    </r>
  </si>
  <si>
    <t>"The Group had disposed of its Plantation business during the financial year.</t>
  </si>
  <si>
    <r>
      <t xml:space="preserve">Wah Seong (2018, April), </t>
    </r>
    <r>
      <rPr>
        <i/>
        <sz val="11"/>
        <color theme="1"/>
        <rFont val="Calibri"/>
        <family val="2"/>
        <scheme val="minor"/>
      </rPr>
      <t>Annual Report 2017</t>
    </r>
    <r>
      <rPr>
        <sz val="11"/>
        <color theme="1"/>
        <rFont val="Calibri"/>
        <family val="2"/>
        <scheme val="minor"/>
      </rPr>
      <t>, p. 177.</t>
    </r>
  </si>
  <si>
    <t>Wilmar Group</t>
  </si>
  <si>
    <t>Wilmar International</t>
  </si>
  <si>
    <t>Wii</t>
  </si>
  <si>
    <t>Finance and treasury subsidiaries apply group level adjuster. Segment Additions to non-current assets (i.e. capital expenditures). Wilmar had seven reportable operating segments: Palm &amp; Laurics; Oilseeds &amp; Grains; Consumer Products; Plantations &amp; Palm Oil Mills; Sugar, and; Others. This segment adjuster is based on Palm &amp; Laurics and Plantations &amp; Palm Oil Mills segments.</t>
  </si>
  <si>
    <r>
      <t xml:space="preserve">Wilmar International (2016, March), </t>
    </r>
    <r>
      <rPr>
        <i/>
        <sz val="11"/>
        <color theme="1"/>
        <rFont val="Calibri"/>
        <family val="2"/>
        <scheme val="minor"/>
      </rPr>
      <t>Annual Report 2015: Wilmar in Asia</t>
    </r>
    <r>
      <rPr>
        <sz val="11"/>
        <color theme="1"/>
        <rFont val="Calibri"/>
        <family val="2"/>
        <scheme val="minor"/>
      </rPr>
      <t>, p. 190.</t>
    </r>
  </si>
  <si>
    <t>Wilmar International Ltd</t>
  </si>
  <si>
    <t>WII Ltd</t>
  </si>
  <si>
    <t>Finance and treasury subsidiaries apply group level adjuster. Segment Additions to non-current assets (i.e. capital expenditures). Wilmar had five reportable operating segments: Merchandising &amp; Processing - Palm &amp; Laurics and Oilseeds &amp; Grains; Consumer Products; Plantations &amp; Palm Oil Mills, and; Others. This segment adjusters is based on Merchandising &amp; Processing - Palm &amp; Laurics and Plantations &amp; Palm Oil Mills segments.</t>
  </si>
  <si>
    <r>
      <t xml:space="preserve">Wilmar International (2011, March), </t>
    </r>
    <r>
      <rPr>
        <i/>
        <sz val="11"/>
        <color theme="1"/>
        <rFont val="Calibri"/>
        <family val="2"/>
        <scheme val="minor"/>
      </rPr>
      <t>Annual Report 2010: Investing in Growth</t>
    </r>
    <r>
      <rPr>
        <sz val="11"/>
        <color theme="1"/>
        <rFont val="Calibri"/>
        <family val="2"/>
        <scheme val="minor"/>
      </rPr>
      <t>, p. 182, 185.</t>
    </r>
  </si>
  <si>
    <t>Wii Pte Ltd</t>
  </si>
  <si>
    <t>Finance and treasury subsidiaries apply group level adjuster. Segment Additions to non-current assets (i.e. capital expenditures). Wilmar had seven reportable operating segments: Merchandising &amp; Processing - Palm &amp; Laurics and Oilseeds &amp; Grains; Consumer Products; Plantations &amp; Palm Oil Mills; Sugar - Milling and Merchandising &amp; Processing, and; Others. This segment adjusters is based on Merchandising &amp; Processing - Palm &amp; Laurics and Plantations &amp; Palm Oil Mills segments.</t>
  </si>
  <si>
    <r>
      <t xml:space="preserve">Wilmar International (2013, March), </t>
    </r>
    <r>
      <rPr>
        <i/>
        <sz val="11"/>
        <color theme="1"/>
        <rFont val="Calibri"/>
        <family val="2"/>
        <scheme val="minor"/>
      </rPr>
      <t>Annual Report 2012: Investing in the Future</t>
    </r>
    <r>
      <rPr>
        <sz val="11"/>
        <color theme="1"/>
        <rFont val="Calibri"/>
        <family val="2"/>
        <scheme val="minor"/>
      </rPr>
      <t>, p. 179, 182.</t>
    </r>
  </si>
  <si>
    <r>
      <t xml:space="preserve">Wilmar International (2013, March), </t>
    </r>
    <r>
      <rPr>
        <i/>
        <sz val="11"/>
        <color theme="1"/>
        <rFont val="Calibri"/>
        <family val="2"/>
        <scheme val="minor"/>
      </rPr>
      <t>Annual Report 2012: Investing in the Future</t>
    </r>
    <r>
      <rPr>
        <sz val="11"/>
        <color theme="1"/>
        <rFont val="Calibri"/>
        <family val="2"/>
        <scheme val="minor"/>
      </rPr>
      <t>, p. 178, 182.</t>
    </r>
  </si>
  <si>
    <r>
      <t xml:space="preserve">Wilmar International (2015, May), </t>
    </r>
    <r>
      <rPr>
        <i/>
        <sz val="11"/>
        <color theme="1"/>
        <rFont val="Calibri"/>
        <family val="2"/>
        <scheme val="minor"/>
      </rPr>
      <t>Annual Report 2014: Wilmar in Africa</t>
    </r>
    <r>
      <rPr>
        <sz val="11"/>
        <color theme="1"/>
        <rFont val="Calibri"/>
        <family val="2"/>
        <scheme val="minor"/>
      </rPr>
      <t>, p. 192, 196.</t>
    </r>
  </si>
  <si>
    <r>
      <t xml:space="preserve">Wilmar International (2015, May), </t>
    </r>
    <r>
      <rPr>
        <i/>
        <sz val="11"/>
        <color theme="1"/>
        <rFont val="Calibri"/>
        <family val="2"/>
        <scheme val="minor"/>
      </rPr>
      <t>Annual Report 2014: Wilmar in Africa</t>
    </r>
    <r>
      <rPr>
        <sz val="11"/>
        <color theme="1"/>
        <rFont val="Calibri"/>
        <family val="2"/>
        <scheme val="minor"/>
      </rPr>
      <t>, p. 191, 196.</t>
    </r>
  </si>
  <si>
    <r>
      <t xml:space="preserve">Wilmar International (2018, April), </t>
    </r>
    <r>
      <rPr>
        <i/>
        <sz val="11"/>
        <color theme="1"/>
        <rFont val="Calibri"/>
        <family val="2"/>
        <scheme val="minor"/>
      </rPr>
      <t>Annual Report 2017: Global Connection</t>
    </r>
    <r>
      <rPr>
        <sz val="11"/>
        <color theme="1"/>
        <rFont val="Calibri"/>
        <family val="2"/>
        <scheme val="minor"/>
      </rPr>
      <t>, p. 178.</t>
    </r>
  </si>
  <si>
    <t>Segment Additions to non-current assets (i.e. capital expenditures). Wilmar had four reportable operating segments: Tropical Oils; Oilseeds &amp; Grains; Sugar, and; Others. This segment adjuster is based on Tropical Oils.</t>
  </si>
  <si>
    <r>
      <t xml:space="preserve">Wilmar International (2019, April), </t>
    </r>
    <r>
      <rPr>
        <i/>
        <sz val="11"/>
        <color theme="1"/>
        <rFont val="Calibri"/>
        <family val="2"/>
        <scheme val="minor"/>
      </rPr>
      <t>Annual Report 2018: Towards Sustainable Palm Oil</t>
    </r>
    <r>
      <rPr>
        <sz val="11"/>
        <color theme="1"/>
        <rFont val="Calibri"/>
        <family val="2"/>
        <scheme val="minor"/>
      </rPr>
      <t>, p. 179-180.</t>
    </r>
  </si>
  <si>
    <t>WILMAR</t>
  </si>
  <si>
    <t>Segment Additions to non-current assets (i.e. capital expenditures). Wilmar has four reportable operating segments: Tropical Oils (Plantation and Manufacturing), Oilseeds and Grains (Manufacturing and Consumer Products), Sugar (Merchandising, Manufacturing and Consumer Products) and Others. The adjuster is based on Tropical Oils segment. 2016 figures not available.</t>
  </si>
  <si>
    <t>Wilmar Cahaya Indonesia Tbk PT</t>
  </si>
  <si>
    <t>Sales of crude palm oil products and palm kernel products.</t>
  </si>
  <si>
    <r>
      <t xml:space="preserve">Wilmar Cahaya Indonesia (2018, March), </t>
    </r>
    <r>
      <rPr>
        <i/>
        <sz val="11"/>
        <color theme="1"/>
        <rFont val="Calibri"/>
        <family val="2"/>
        <scheme val="minor"/>
      </rPr>
      <t>Annual Report 2017: Sustain Growth in the Mindset of Challenges</t>
    </r>
    <r>
      <rPr>
        <sz val="11"/>
        <color theme="1"/>
        <rFont val="Calibri"/>
        <family val="2"/>
        <scheme val="minor"/>
      </rPr>
      <t>, p. FS-72.</t>
    </r>
  </si>
  <si>
    <r>
      <t xml:space="preserve">Wilmar Cahaya Indonesia (2019, April), </t>
    </r>
    <r>
      <rPr>
        <i/>
        <sz val="11"/>
        <color theme="1"/>
        <rFont val="Calibri"/>
        <family val="2"/>
        <scheme val="minor"/>
      </rPr>
      <t>Annual Report 2019: Sustainable Growth</t>
    </r>
    <r>
      <rPr>
        <sz val="11"/>
        <color theme="1"/>
        <rFont val="Calibri"/>
        <family val="2"/>
        <scheme val="minor"/>
      </rPr>
      <t>, p. FS-69.</t>
    </r>
  </si>
  <si>
    <t>Segment Additions to non-current assets (i.e. capital expenditures). Wilmar had five reportable operating segments: Merchandising &amp; Processing - Palm &amp; Laurics and Oilseeds &amp; Grains; Consumer Products; Plantations &amp; Palm Oil Mills, and; Others. This segment adjusters is based on Merchandising &amp; Processing - Palm &amp; Laurics and Plantations &amp; Palm Oil Mills segments.</t>
  </si>
  <si>
    <r>
      <t xml:space="preserve">Wilmar International (2011, March), </t>
    </r>
    <r>
      <rPr>
        <i/>
        <sz val="11"/>
        <color theme="1"/>
        <rFont val="Calibri"/>
        <family val="2"/>
        <scheme val="minor"/>
      </rPr>
      <t>Annual Report 2010: Investing in Growth</t>
    </r>
    <r>
      <rPr>
        <sz val="11"/>
        <color theme="1"/>
        <rFont val="Calibri"/>
        <family val="2"/>
        <scheme val="minor"/>
      </rPr>
      <t>, p. 182.</t>
    </r>
  </si>
  <si>
    <t>Segment Additions to non-current assets (i.e. capital expenditures). Wilmar had seven reportable operating segments: Merchandising &amp; Processing - Palm &amp; Laurics and Oilseeds &amp; Grains; Consumer Products; Plantations &amp; Palm Oil Mills; Sugar - Milling and Merchandising &amp; Processing, and; Others. This segment adjusters is based on Merchandising &amp; Processing - Palm &amp; Laurics and Plantations &amp; Palm Oil Mills segments.</t>
  </si>
  <si>
    <r>
      <t xml:space="preserve">Wilmar International (2013, March), </t>
    </r>
    <r>
      <rPr>
        <i/>
        <sz val="11"/>
        <color theme="1"/>
        <rFont val="Calibri"/>
        <family val="2"/>
        <scheme val="minor"/>
      </rPr>
      <t>Annual Report 2012: Investing in the Future</t>
    </r>
    <r>
      <rPr>
        <sz val="11"/>
        <color theme="1"/>
        <rFont val="Calibri"/>
        <family val="2"/>
        <scheme val="minor"/>
      </rPr>
      <t>, p. 179.</t>
    </r>
  </si>
  <si>
    <r>
      <t xml:space="preserve">Wilmar International (2013, March), </t>
    </r>
    <r>
      <rPr>
        <i/>
        <sz val="11"/>
        <color theme="1"/>
        <rFont val="Calibri"/>
        <family val="2"/>
        <scheme val="minor"/>
      </rPr>
      <t>Annual Report 2012: Investing in the Future</t>
    </r>
    <r>
      <rPr>
        <sz val="11"/>
        <color theme="1"/>
        <rFont val="Calibri"/>
        <family val="2"/>
        <scheme val="minor"/>
      </rPr>
      <t>, p. 178.</t>
    </r>
  </si>
  <si>
    <t>Segment Additions to non-current assets (i.e. capital expenditures). Wilmar had seven reportable operating segments: Palm &amp; Laurics; Oilseeds &amp; Grains; Consumer Products; Plantations &amp; Palm Oil Mills; Sugar, and; Others. This segment adjuster is based on Palm &amp; Laurics and Plantations &amp; Palm Oil Mills segments.</t>
  </si>
  <si>
    <r>
      <t xml:space="preserve">Wilmar International (2015, May), </t>
    </r>
    <r>
      <rPr>
        <i/>
        <sz val="11"/>
        <color theme="1"/>
        <rFont val="Calibri"/>
        <family val="2"/>
        <scheme val="minor"/>
      </rPr>
      <t>Annual Report 2014: Wilmar in Africa</t>
    </r>
    <r>
      <rPr>
        <sz val="11"/>
        <color theme="1"/>
        <rFont val="Calibri"/>
        <family val="2"/>
        <scheme val="minor"/>
      </rPr>
      <t>, p. 191.</t>
    </r>
  </si>
  <si>
    <t>Segment Additions to non-current assets (i.e. capital expenditures). Wilmar has four reportable operating segments: Tropical Oils (Plantation and Manufacturing), Oilseeds and Grains (Manufacturing and Consumer Products), Sugar (Merchandising, Manufacturing and Consumer Products) and Others. The adjuster is based on Tropical Oils segment.</t>
  </si>
  <si>
    <r>
      <t xml:space="preserve">Wilmar International (2018, April), </t>
    </r>
    <r>
      <rPr>
        <i/>
        <sz val="11"/>
        <color theme="1"/>
        <rFont val="Calibri"/>
        <family val="2"/>
        <scheme val="minor"/>
      </rPr>
      <t>Annual Report 2017: Global Connection</t>
    </r>
    <r>
      <rPr>
        <sz val="11"/>
        <color theme="1"/>
        <rFont val="Calibri"/>
        <family val="2"/>
        <scheme val="minor"/>
      </rPr>
      <t>, p. 179.</t>
    </r>
  </si>
  <si>
    <t>WILMAR INTERNATIONAL LTD</t>
  </si>
  <si>
    <t>Yihai Kerry Arawana Holdings Co Ltd</t>
  </si>
  <si>
    <t>Segment Additions to non-current assets (i.e. capital expenditures). Wilmar had four reportable operating segments: Tropical Oils; Oilseeds &amp; Grains; Sugar, and; Others. This segment adjuster is based on Tropical Oils. Investment holding company, processing and merchandising of oilseeds, edible oils and grains.</t>
  </si>
  <si>
    <t>WTK Holding</t>
  </si>
  <si>
    <t>Biogrow City Plantations</t>
  </si>
  <si>
    <t>"Planting and management of oil palm plantation and operating of palm oil mill"</t>
  </si>
  <si>
    <r>
      <t xml:space="preserve">WTK Holdings (2019, April), </t>
    </r>
    <r>
      <rPr>
        <i/>
        <sz val="11"/>
        <color theme="1"/>
        <rFont val="Calibri"/>
        <family val="2"/>
        <scheme val="minor"/>
      </rPr>
      <t>Annual Report 2018</t>
    </r>
    <r>
      <rPr>
        <sz val="11"/>
        <color theme="1"/>
        <rFont val="Calibri"/>
        <family val="2"/>
        <scheme val="minor"/>
      </rPr>
      <t>, p. 150.</t>
    </r>
  </si>
  <si>
    <t>Borneo Agro Industries</t>
  </si>
  <si>
    <t>Palm oil cultivation.</t>
  </si>
  <si>
    <r>
      <t xml:space="preserve">WTK Holdings (2013, May), </t>
    </r>
    <r>
      <rPr>
        <i/>
        <sz val="11"/>
        <color theme="1"/>
        <rFont val="Calibri"/>
        <family val="2"/>
        <scheme val="minor"/>
      </rPr>
      <t>Annual Report 2012</t>
    </r>
    <r>
      <rPr>
        <sz val="11"/>
        <color theme="1"/>
        <rFont val="Calibri"/>
        <family val="2"/>
        <scheme val="minor"/>
      </rPr>
      <t>, p. 92.</t>
    </r>
  </si>
  <si>
    <t>Immense Fleet</t>
  </si>
  <si>
    <t>Reforestation and management of oil palm plantation.</t>
  </si>
  <si>
    <r>
      <t xml:space="preserve">WTK Holdings (2013, May), </t>
    </r>
    <r>
      <rPr>
        <i/>
        <sz val="11"/>
        <color theme="1"/>
        <rFont val="Calibri"/>
        <family val="2"/>
        <scheme val="minor"/>
      </rPr>
      <t>Annual Report 2012</t>
    </r>
    <r>
      <rPr>
        <sz val="11"/>
        <color theme="1"/>
        <rFont val="Calibri"/>
        <family val="2"/>
        <scheme val="minor"/>
      </rPr>
      <t>, p. 91.</t>
    </r>
  </si>
  <si>
    <t>W T K Holdings Bhd</t>
  </si>
  <si>
    <t>Segment additions to non-current assets / capital expenditures. WTK has six reportable operating segments: Timber; Plantation; Trading; Manufacturing; Investment Holding, and; Oil &amp; Gas. The timber adjuster is based on the Timber segment. The palm oil adjuster is based on the Plantation segment as this is primarily focused on palm oil.</t>
  </si>
  <si>
    <r>
      <t xml:space="preserve">WTK Holdings (2016, April), </t>
    </r>
    <r>
      <rPr>
        <i/>
        <sz val="11"/>
        <color theme="1"/>
        <rFont val="Calibri"/>
        <family val="2"/>
        <scheme val="minor"/>
      </rPr>
      <t>Annual Report 2015</t>
    </r>
    <r>
      <rPr>
        <sz val="11"/>
        <color theme="1"/>
        <rFont val="Calibri"/>
        <family val="2"/>
        <scheme val="minor"/>
      </rPr>
      <t>, p. 136-137.</t>
    </r>
  </si>
  <si>
    <r>
      <t xml:space="preserve">WTK Holdings (2018, April), </t>
    </r>
    <r>
      <rPr>
        <i/>
        <sz val="11"/>
        <color theme="1"/>
        <rFont val="Calibri"/>
        <family val="2"/>
        <scheme val="minor"/>
      </rPr>
      <t>Annual Report 2017</t>
    </r>
    <r>
      <rPr>
        <sz val="11"/>
        <color theme="1"/>
        <rFont val="Calibri"/>
        <family val="2"/>
        <scheme val="minor"/>
      </rPr>
      <t>, p. 160-161.</t>
    </r>
  </si>
  <si>
    <r>
      <t xml:space="preserve">WTK Holdings (2019, April), </t>
    </r>
    <r>
      <rPr>
        <i/>
        <sz val="11"/>
        <color theme="1"/>
        <rFont val="Calibri"/>
        <family val="2"/>
        <scheme val="minor"/>
      </rPr>
      <t>Annual Report 2018</t>
    </r>
    <r>
      <rPr>
        <sz val="11"/>
        <color theme="1"/>
        <rFont val="Calibri"/>
        <family val="2"/>
        <scheme val="minor"/>
      </rPr>
      <t>, p. 194-195.</t>
    </r>
  </si>
  <si>
    <t>ZTE</t>
  </si>
  <si>
    <t>ZTE CORP</t>
  </si>
  <si>
    <t>Segment adjuster set at nominal 1%. ZTE acquired palm oil plantations in Indonesia in 2009, and has explored palm oil expansion in Hainan (China) and DRC. ZTE's palm oil activities are carried out by subsidiaries of ZTE Enery and/or ZTE Agribusiness. It has not been possible to identify more specific information on the proportion of palm oil in ZTE's total business portfolio.</t>
  </si>
  <si>
    <t>ZTE Corp</t>
  </si>
  <si>
    <t>ZTE CORP-A</t>
  </si>
  <si>
    <t>ZTE CORP-H</t>
  </si>
  <si>
    <t>ZTE HK LTD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</si>
</sst>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_);_(* \(#,##0\);_(* &quot;-&quot;??_);_(@_)"/>
    <numFmt numFmtId="165" formatCode="0.000%"/>
  </numFmts>
  <fonts count="9" x14ac:knownFonts="1">
    <font>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i/>
      <sz val="11"/>
      <color theme="1"/>
      <name val="Calibri"/>
      <family val="2"/>
      <scheme val="minor"/>
    </font>
    <font>
      <sz val="11"/>
      <name val="Calibri"/>
      <family val="2"/>
      <scheme val="minor"/>
    </font>
    <font>
      <i/>
      <sz val="11"/>
      <name val="Calibri"/>
      <family val="2"/>
      <scheme val="minor"/>
    </font>
    <font>
      <b/>
      <sz val="11"/>
      <color theme="1"/>
      <name val="Calibri"/>
      <family val="2"/>
      <scheme val="minor"/>
    </font>
    <font>
      <sz val="11"/>
      <color rgb="FFFF0000"/>
      <name val="Calibri"/>
      <family val="2"/>
      <scheme val="minor"/>
    </font>
  </fonts>
  <fills count="8">
    <fill>
      <patternFill patternType="none"/>
    </fill>
    <fill>
      <patternFill patternType="gray125"/>
    </fill>
    <fill>
      <patternFill patternType="solid">
        <fgColor theme="8"/>
      </patternFill>
    </fill>
    <fill>
      <patternFill patternType="solid">
        <fgColor theme="9"/>
        <bgColor theme="9"/>
      </patternFill>
    </fill>
    <fill>
      <patternFill patternType="solid">
        <fgColor rgb="FFFF0000"/>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0"/>
        <bgColor indexed="64"/>
      </patternFill>
    </fill>
  </fills>
  <borders count="2">
    <border>
      <left/>
      <right/>
      <top/>
      <bottom/>
      <diagonal/>
    </border>
    <border>
      <left/>
      <right/>
      <top style="medium">
        <color theme="9" tint="-0.249977111117893"/>
      </top>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30">
    <xf numFmtId="0" fontId="0" fillId="0" borderId="0" xfId="0"/>
    <xf numFmtId="0" fontId="2" fillId="3" borderId="1" xfId="0" applyFont="1" applyFill="1" applyBorder="1"/>
    <xf numFmtId="10" fontId="3" fillId="2" borderId="0" xfId="2" applyNumberFormat="1" applyFont="1" applyFill="1"/>
    <xf numFmtId="0" fontId="2" fillId="3" borderId="0" xfId="0" applyFont="1" applyFill="1"/>
    <xf numFmtId="164" fontId="0" fillId="0" borderId="0" xfId="1" applyNumberFormat="1" applyFont="1"/>
    <xf numFmtId="10" fontId="0" fillId="0" borderId="0" xfId="2" applyNumberFormat="1" applyFont="1"/>
    <xf numFmtId="10" fontId="0" fillId="0" borderId="0" xfId="0" applyNumberFormat="1"/>
    <xf numFmtId="10" fontId="0" fillId="0" borderId="0" xfId="2" applyNumberFormat="1" applyFont="1" applyFill="1"/>
    <xf numFmtId="0" fontId="5" fillId="0" borderId="0" xfId="0" applyFont="1"/>
    <xf numFmtId="0" fontId="0" fillId="4" borderId="0" xfId="0" applyFill="1"/>
    <xf numFmtId="10" fontId="0" fillId="4" borderId="0" xfId="2" applyNumberFormat="1" applyFont="1" applyFill="1"/>
    <xf numFmtId="10" fontId="0" fillId="0" borderId="0" xfId="2" quotePrefix="1" applyNumberFormat="1" applyFont="1"/>
    <xf numFmtId="10" fontId="0" fillId="0" borderId="0" xfId="2" quotePrefix="1" applyNumberFormat="1" applyFont="1" applyFill="1"/>
    <xf numFmtId="10" fontId="0" fillId="4" borderId="0" xfId="2" quotePrefix="1" applyNumberFormat="1" applyFont="1" applyFill="1"/>
    <xf numFmtId="0" fontId="5" fillId="4" borderId="0" xfId="0" applyFont="1" applyFill="1"/>
    <xf numFmtId="0" fontId="0" fillId="5" borderId="0" xfId="0" applyFill="1"/>
    <xf numFmtId="10" fontId="0" fillId="5" borderId="0" xfId="2" applyNumberFormat="1" applyFont="1" applyFill="1"/>
    <xf numFmtId="10" fontId="0" fillId="4" borderId="0" xfId="0" applyNumberFormat="1" applyFill="1"/>
    <xf numFmtId="9" fontId="0" fillId="0" borderId="0" xfId="2" applyFont="1" applyFill="1"/>
    <xf numFmtId="9" fontId="0" fillId="4" borderId="0" xfId="2" applyFont="1" applyFill="1"/>
    <xf numFmtId="0" fontId="5" fillId="5" borderId="0" xfId="0" applyFont="1" applyFill="1"/>
    <xf numFmtId="10" fontId="0" fillId="6" borderId="0" xfId="2" applyNumberFormat="1" applyFont="1" applyFill="1"/>
    <xf numFmtId="165" fontId="0" fillId="0" borderId="0" xfId="2" quotePrefix="1" applyNumberFormat="1" applyFont="1"/>
    <xf numFmtId="165" fontId="0" fillId="0" borderId="0" xfId="2" quotePrefix="1" applyNumberFormat="1" applyFont="1" applyFill="1"/>
    <xf numFmtId="165" fontId="0" fillId="4" borderId="0" xfId="2" quotePrefix="1" applyNumberFormat="1" applyFont="1" applyFill="1"/>
    <xf numFmtId="9" fontId="0" fillId="0" borderId="0" xfId="2" applyFont="1"/>
    <xf numFmtId="0" fontId="0" fillId="7" borderId="0" xfId="0" applyFill="1"/>
    <xf numFmtId="10" fontId="5" fillId="0" borderId="0" xfId="2" applyNumberFormat="1" applyFont="1"/>
    <xf numFmtId="0" fontId="0" fillId="6" borderId="0" xfId="0" applyFill="1"/>
    <xf numFmtId="10" fontId="0" fillId="6" borderId="0" xfId="2" quotePrefix="1" applyNumberFormat="1" applyFont="1" applyFill="1"/>
  </cellXfs>
  <cellStyles count="3">
    <cellStyle name="Comma" xfId="1" builtinId="3"/>
    <cellStyle name="Normal" xfId="0" builtinId="0"/>
    <cellStyle name="Per cent" xfId="2" builtinId="5"/>
  </cellStyles>
  <dxfs count="2">
    <dxf>
      <font>
        <color rgb="FFFFFF00"/>
      </font>
      <fill>
        <patternFill>
          <bgColor rgb="FFFF0000"/>
        </patternFill>
      </fill>
    </dxf>
    <dxf>
      <font>
        <color rgb="FFFFFF0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Users/ward/Documents/2016-31%20Update%20and%20expansion%20financing%20of%20tropical%20forest%20commodities%20in%20SEAsia%20RAN/Financial%20data%20collection/Palm%20oil,%20timber,%20p&amp;p,%20rubber%20-%20last%20update%201504%20-%20ww%20adj.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cus companies"/>
      <sheetName val="Tickers"/>
      <sheetName val="Deals"/>
      <sheetName val="Relevant subs-countries"/>
      <sheetName val="Adjustment %"/>
      <sheetName val="Financiers list"/>
    </sheetNames>
    <sheetDataSet>
      <sheetData sheetId="0" refreshError="1"/>
      <sheetData sheetId="1" refreshError="1"/>
      <sheetData sheetId="2" refreshError="1"/>
      <sheetData sheetId="3" refreshError="1"/>
      <sheetData sheetId="4">
        <row r="2">
          <cell r="D2" t="str">
            <v>Issuer Name</v>
          </cell>
          <cell r="E2" t="str">
            <v>Sector</v>
          </cell>
          <cell r="F2" t="str">
            <v>%</v>
          </cell>
        </row>
        <row r="3">
          <cell r="D3" t="str">
            <v>Amalan Pelita Pasai</v>
          </cell>
          <cell r="E3" t="str">
            <v>Palm oil</v>
          </cell>
          <cell r="F3">
            <v>0.9465233109535659</v>
          </cell>
        </row>
        <row r="4">
          <cell r="D4" t="str">
            <v>Perspective Lane</v>
          </cell>
          <cell r="E4" t="str">
            <v>Palm oil</v>
          </cell>
          <cell r="F4">
            <v>0.9465233109535659</v>
          </cell>
        </row>
        <row r="5">
          <cell r="D5" t="str">
            <v>Tradewinds Plantation</v>
          </cell>
          <cell r="E5" t="str">
            <v>Palm oil</v>
          </cell>
          <cell r="F5">
            <v>0.9465233109535659</v>
          </cell>
        </row>
        <row r="6">
          <cell r="D6" t="str">
            <v>Tradewinds Plantation Capital</v>
          </cell>
          <cell r="E6" t="str">
            <v>Palm oil</v>
          </cell>
          <cell r="F6">
            <v>0.9465233109535659</v>
          </cell>
        </row>
        <row r="7">
          <cell r="D7" t="str">
            <v>Tradewinds(M)Bhd</v>
          </cell>
          <cell r="E7" t="str">
            <v>Palm oil</v>
          </cell>
          <cell r="F7">
            <v>0.9465233109535659</v>
          </cell>
        </row>
        <row r="8">
          <cell r="D8" t="str">
            <v>Astra Agro Lestari Tbk PT</v>
          </cell>
          <cell r="E8" t="str">
            <v>Palm oil</v>
          </cell>
          <cell r="F8">
            <v>1</v>
          </cell>
        </row>
        <row r="9">
          <cell r="D9" t="str">
            <v>AI Finance and Agri Resources</v>
          </cell>
          <cell r="E9" t="str">
            <v>Palm oil</v>
          </cell>
          <cell r="F9">
            <v>1</v>
          </cell>
        </row>
        <row r="10">
          <cell r="D10" t="str">
            <v>Bakrie &amp; Brothers</v>
          </cell>
          <cell r="E10" t="str">
            <v>Palm oil</v>
          </cell>
          <cell r="F10">
            <v>8.2000000000000003E-2</v>
          </cell>
        </row>
        <row r="11">
          <cell r="D11" t="str">
            <v>Bakrie Indo Infrastructure</v>
          </cell>
          <cell r="E11" t="str">
            <v>Other</v>
          </cell>
          <cell r="F11">
            <v>0</v>
          </cell>
        </row>
        <row r="12">
          <cell r="D12" t="str">
            <v>Citalaras Cipta Indonesia</v>
          </cell>
          <cell r="E12" t="str">
            <v>Palm oil</v>
          </cell>
          <cell r="F12">
            <v>1</v>
          </cell>
        </row>
        <row r="13">
          <cell r="D13" t="str">
            <v>EMP International(BVI)Ltd</v>
          </cell>
          <cell r="E13" t="str">
            <v>Other</v>
          </cell>
          <cell r="F13">
            <v>0</v>
          </cell>
        </row>
        <row r="14">
          <cell r="D14" t="str">
            <v>Grahadura Leidong Prima</v>
          </cell>
          <cell r="E14" t="str">
            <v>Palm oil</v>
          </cell>
          <cell r="F14">
            <v>1</v>
          </cell>
        </row>
        <row r="15">
          <cell r="D15" t="str">
            <v>Inti Kemitraan Perdana</v>
          </cell>
          <cell r="E15" t="str">
            <v>Other</v>
          </cell>
          <cell r="F15">
            <v>0</v>
          </cell>
        </row>
        <row r="16">
          <cell r="D16" t="str">
            <v>PT Bakrie Tosanjaya(PT Bakrie)</v>
          </cell>
          <cell r="E16" t="str">
            <v>Other</v>
          </cell>
          <cell r="F16">
            <v>0</v>
          </cell>
        </row>
        <row r="17">
          <cell r="D17" t="str">
            <v>Bakrie Sumatera Plantations</v>
          </cell>
          <cell r="E17" t="str">
            <v>Palm oil</v>
          </cell>
          <cell r="F17">
            <v>0.53807428898869691</v>
          </cell>
        </row>
        <row r="18">
          <cell r="D18" t="str">
            <v>Domas Agrointi Perkasa</v>
          </cell>
          <cell r="E18" t="str">
            <v>Other</v>
          </cell>
          <cell r="F18">
            <v>0</v>
          </cell>
        </row>
        <row r="19">
          <cell r="D19" t="str">
            <v>Domas Agrointi Prima</v>
          </cell>
          <cell r="E19" t="str">
            <v>Other</v>
          </cell>
          <cell r="F19">
            <v>0</v>
          </cell>
        </row>
        <row r="20">
          <cell r="D20" t="str">
            <v>Domas Sawitinti Perdana</v>
          </cell>
          <cell r="E20" t="str">
            <v>Palm oil</v>
          </cell>
          <cell r="F20">
            <v>1</v>
          </cell>
        </row>
        <row r="21">
          <cell r="D21" t="str">
            <v>Flora Sawita Chemindo</v>
          </cell>
          <cell r="E21" t="str">
            <v>Other</v>
          </cell>
          <cell r="F21">
            <v>0</v>
          </cell>
        </row>
        <row r="22">
          <cell r="D22" t="str">
            <v>Grahadura Leidongprima</v>
          </cell>
          <cell r="E22" t="str">
            <v>Palm oil</v>
          </cell>
          <cell r="F22">
            <v>1</v>
          </cell>
        </row>
        <row r="23">
          <cell r="D23" t="str">
            <v>Monrad Intan Barakat</v>
          </cell>
          <cell r="E23" t="str">
            <v>Palm oil</v>
          </cell>
          <cell r="F23">
            <v>1</v>
          </cell>
        </row>
        <row r="24">
          <cell r="D24" t="str">
            <v>Barito Pacific</v>
          </cell>
          <cell r="E24" t="str">
            <v>Palm oil</v>
          </cell>
          <cell r="F24">
            <v>0.93111206694710369</v>
          </cell>
        </row>
        <row r="25">
          <cell r="D25" t="str">
            <v>Barito Pacific</v>
          </cell>
          <cell r="E25" t="str">
            <v>Timber</v>
          </cell>
          <cell r="F25">
            <v>7.7367469831974553E-2</v>
          </cell>
        </row>
        <row r="26">
          <cell r="E26" t="str">
            <v>Palm oil</v>
          </cell>
          <cell r="F26">
            <v>0.93111206694710369</v>
          </cell>
        </row>
        <row r="27">
          <cell r="E27" t="str">
            <v>Timber</v>
          </cell>
          <cell r="F27">
            <v>7.7367469831974553E-2</v>
          </cell>
        </row>
        <row r="28">
          <cell r="D28" t="str">
            <v>Royal Indo Mandiri PT</v>
          </cell>
          <cell r="E28" t="str">
            <v>Palm oil</v>
          </cell>
          <cell r="F28">
            <v>1</v>
          </cell>
        </row>
        <row r="29">
          <cell r="D29" t="str">
            <v>Batu Kawan</v>
          </cell>
          <cell r="E29" t="str">
            <v>Palm oil</v>
          </cell>
          <cell r="F29">
            <v>0.76951550363243115</v>
          </cell>
        </row>
        <row r="30">
          <cell r="D30" t="str">
            <v>Batu Kawan Bhd</v>
          </cell>
          <cell r="E30" t="str">
            <v>Palm oil</v>
          </cell>
          <cell r="F30">
            <v>0.76951550363243115</v>
          </cell>
        </row>
        <row r="31">
          <cell r="D31" t="str">
            <v>Batu Kawan Group</v>
          </cell>
          <cell r="E31" t="str">
            <v>Palm oil</v>
          </cell>
          <cell r="F31">
            <v>0.76951550363243115</v>
          </cell>
        </row>
        <row r="32">
          <cell r="D32" t="str">
            <v>Equatorial Palm Oil</v>
          </cell>
          <cell r="E32" t="str">
            <v>Palm oil</v>
          </cell>
          <cell r="F32">
            <v>1</v>
          </cell>
        </row>
        <row r="33">
          <cell r="D33" t="str">
            <v>Kuala Lumpur Kepong</v>
          </cell>
          <cell r="E33" t="str">
            <v>Palm oil</v>
          </cell>
          <cell r="F33">
            <v>0.96359483678763203</v>
          </cell>
        </row>
        <row r="34">
          <cell r="D34" t="str">
            <v>KLK Capital Resources (L) Ltd</v>
          </cell>
          <cell r="E34" t="str">
            <v>Palm oil</v>
          </cell>
          <cell r="F34">
            <v>0.96359483678763203</v>
          </cell>
        </row>
        <row r="35">
          <cell r="D35" t="str">
            <v>Kuala Lumpur Kepong Bhd</v>
          </cell>
          <cell r="E35" t="str">
            <v>Palm oil</v>
          </cell>
          <cell r="F35">
            <v>0.96359483678763203</v>
          </cell>
        </row>
        <row r="36">
          <cell r="D36" t="str">
            <v>Berjaya Corp Bhd</v>
          </cell>
          <cell r="E36" t="str">
            <v>Timber</v>
          </cell>
          <cell r="F36">
            <v>9.3276501640561546E-2</v>
          </cell>
        </row>
        <row r="37">
          <cell r="D37" t="str">
            <v>Berjaya Corporation</v>
          </cell>
          <cell r="E37" t="str">
            <v>Timber</v>
          </cell>
          <cell r="F37">
            <v>9.3276501640561546E-2</v>
          </cell>
        </row>
        <row r="38">
          <cell r="D38" t="str">
            <v>Socfin</v>
          </cell>
          <cell r="E38" t="str">
            <v>Palm oil</v>
          </cell>
          <cell r="F38">
            <v>0.462836556693212</v>
          </cell>
        </row>
        <row r="39">
          <cell r="D39" t="str">
            <v>Socfinaf</v>
          </cell>
          <cell r="E39" t="str">
            <v>Palm oil</v>
          </cell>
          <cell r="F39">
            <v>0.43306788016685632</v>
          </cell>
        </row>
        <row r="40">
          <cell r="D40" t="str">
            <v>Socfinasia</v>
          </cell>
          <cell r="E40" t="str">
            <v>Palm oil</v>
          </cell>
          <cell r="F40">
            <v>0.73230593607305949</v>
          </cell>
        </row>
        <row r="41">
          <cell r="D41" t="str">
            <v>Adhyaksa Dharmasatya</v>
          </cell>
          <cell r="E41" t="str">
            <v>Palm oil</v>
          </cell>
          <cell r="F41">
            <v>1</v>
          </cell>
        </row>
        <row r="42">
          <cell r="D42" t="str">
            <v>Bumihutani Lestari</v>
          </cell>
          <cell r="E42" t="str">
            <v>Palm oil</v>
          </cell>
          <cell r="F42">
            <v>1</v>
          </cell>
        </row>
        <row r="43">
          <cell r="D43" t="str">
            <v>Bumilanggeng Perdanatrada</v>
          </cell>
          <cell r="E43" t="str">
            <v>Palm oil</v>
          </cell>
          <cell r="F43">
            <v>1</v>
          </cell>
        </row>
        <row r="44">
          <cell r="D44" t="str">
            <v>BW Plantation Tbk PT</v>
          </cell>
          <cell r="E44" t="str">
            <v>Palm oil</v>
          </cell>
          <cell r="F44">
            <v>1</v>
          </cell>
        </row>
        <row r="45">
          <cell r="D45" t="str">
            <v>Sawit Sukses Sejahtera</v>
          </cell>
          <cell r="E45" t="str">
            <v>Palm oil</v>
          </cell>
          <cell r="F45">
            <v>1</v>
          </cell>
        </row>
        <row r="46">
          <cell r="D46" t="str">
            <v>BW Plantation</v>
          </cell>
          <cell r="E46" t="str">
            <v>Palm oil</v>
          </cell>
          <cell r="F46">
            <v>1</v>
          </cell>
        </row>
        <row r="47">
          <cell r="D47" t="str">
            <v>Cargill</v>
          </cell>
          <cell r="E47" t="str">
            <v>Palm oil</v>
          </cell>
          <cell r="F47">
            <v>0.1</v>
          </cell>
        </row>
        <row r="48">
          <cell r="D48" t="str">
            <v>Cargill Asia Pacific Treasury</v>
          </cell>
          <cell r="E48" t="str">
            <v>Palm oil</v>
          </cell>
          <cell r="F48">
            <v>0.1</v>
          </cell>
        </row>
        <row r="49">
          <cell r="D49" t="str">
            <v>Cargill Global Funding PLC</v>
          </cell>
          <cell r="E49" t="str">
            <v>Palm oil</v>
          </cell>
          <cell r="F49">
            <v>0.1</v>
          </cell>
        </row>
        <row r="50">
          <cell r="D50" t="str">
            <v>Cargill Inc</v>
          </cell>
          <cell r="E50" t="str">
            <v>Palm oil</v>
          </cell>
          <cell r="F50">
            <v>0.1</v>
          </cell>
        </row>
        <row r="51">
          <cell r="D51" t="str">
            <v>Temco LLC</v>
          </cell>
          <cell r="E51" t="str">
            <v>Palm oil</v>
          </cell>
          <cell r="F51">
            <v>0</v>
          </cell>
        </row>
        <row r="52">
          <cell r="E52" t="str">
            <v>Palm oil</v>
          </cell>
          <cell r="F52">
            <v>0.1</v>
          </cell>
        </row>
        <row r="53">
          <cell r="D53" t="str">
            <v>China Agri-Inds Hldg Ltd</v>
          </cell>
          <cell r="E53" t="str">
            <v>Palm oil</v>
          </cell>
          <cell r="F53">
            <v>3.3865067595929721E-2</v>
          </cell>
        </row>
        <row r="54">
          <cell r="D54" t="str">
            <v>China Agri-Industries</v>
          </cell>
          <cell r="E54" t="str">
            <v>Palm oil</v>
          </cell>
          <cell r="F54">
            <v>3.3865067595929721E-2</v>
          </cell>
        </row>
        <row r="55">
          <cell r="D55" t="str">
            <v>Cofco Capital Corp(Cofco)</v>
          </cell>
          <cell r="E55" t="str">
            <v>Timber</v>
          </cell>
          <cell r="F55">
            <v>1.8761507446337429E-2</v>
          </cell>
        </row>
        <row r="56">
          <cell r="D56" t="str">
            <v>COFCO Corp</v>
          </cell>
          <cell r="E56" t="str">
            <v>Timber</v>
          </cell>
          <cell r="F56">
            <v>1.8761507446337429E-2</v>
          </cell>
        </row>
        <row r="57">
          <cell r="D57" t="str">
            <v>COFCO Ltd</v>
          </cell>
          <cell r="E57" t="str">
            <v>Timber</v>
          </cell>
          <cell r="F57">
            <v>1.8761507446337429E-2</v>
          </cell>
        </row>
        <row r="58">
          <cell r="D58" t="str">
            <v>COFCO(Hong Kong)Ltd</v>
          </cell>
          <cell r="E58" t="str">
            <v>Timber</v>
          </cell>
          <cell r="F58">
            <v>1.8761507446337429E-2</v>
          </cell>
        </row>
        <row r="59">
          <cell r="D59" t="str">
            <v>Dalhoff Larsen &amp; Horneman A/S</v>
          </cell>
          <cell r="E59" t="str">
            <v>Timber</v>
          </cell>
          <cell r="F59">
            <v>1</v>
          </cell>
        </row>
        <row r="60">
          <cell r="D60" t="str">
            <v>Dalhoff Larsen &amp; Horneman Group</v>
          </cell>
          <cell r="E60" t="str">
            <v>Timber</v>
          </cell>
          <cell r="F60">
            <v>1</v>
          </cell>
        </row>
        <row r="61">
          <cell r="D61" t="str">
            <v>Dalhoff Larsen&amp;Horneman A/S</v>
          </cell>
          <cell r="E61" t="str">
            <v>Timber</v>
          </cell>
          <cell r="F61">
            <v>1</v>
          </cell>
        </row>
        <row r="62">
          <cell r="D62" t="str">
            <v>BCA</v>
          </cell>
          <cell r="E62" t="str">
            <v>Other</v>
          </cell>
          <cell r="F62">
            <v>0</v>
          </cell>
        </row>
        <row r="64">
          <cell r="D64" t="str">
            <v>Evergreen Fibreboard</v>
          </cell>
          <cell r="E64" t="str">
            <v>Timber</v>
          </cell>
          <cell r="F64">
            <v>1</v>
          </cell>
        </row>
        <row r="65">
          <cell r="D65" t="str">
            <v>Felda Global Ventures Hldgs</v>
          </cell>
          <cell r="E65" t="str">
            <v>Palm oil</v>
          </cell>
          <cell r="F65">
            <v>0.82</v>
          </cell>
        </row>
        <row r="66">
          <cell r="D66" t="str">
            <v>Felda Global Ventures</v>
          </cell>
          <cell r="E66" t="str">
            <v>Palm oil</v>
          </cell>
          <cell r="F66">
            <v>0.82</v>
          </cell>
        </row>
        <row r="67">
          <cell r="D67" t="str">
            <v>Felda Global Ventures Holdings</v>
          </cell>
          <cell r="E67" t="str">
            <v>Palm oil</v>
          </cell>
          <cell r="F67">
            <v>0.82</v>
          </cell>
        </row>
        <row r="68">
          <cell r="D68" t="str">
            <v>Asian Plantations Ltd</v>
          </cell>
          <cell r="E68" t="str">
            <v>Palm oil</v>
          </cell>
          <cell r="F68">
            <v>1</v>
          </cell>
        </row>
        <row r="69">
          <cell r="D69" t="str">
            <v>Bollore</v>
          </cell>
          <cell r="E69" t="str">
            <v>Timber</v>
          </cell>
          <cell r="F69">
            <v>0.14000000000000001</v>
          </cell>
        </row>
        <row r="70">
          <cell r="D70" t="str">
            <v>Bollore SA</v>
          </cell>
          <cell r="E70" t="str">
            <v>Timber</v>
          </cell>
          <cell r="F70">
            <v>0.14000000000000001</v>
          </cell>
        </row>
        <row r="71">
          <cell r="D71" t="str">
            <v>Bollore Group</v>
          </cell>
          <cell r="E71" t="str">
            <v>Timber</v>
          </cell>
          <cell r="F71">
            <v>0.14000000000000001</v>
          </cell>
        </row>
        <row r="72">
          <cell r="D72" t="str">
            <v>Financiere de l'Odet SA</v>
          </cell>
          <cell r="E72" t="str">
            <v>Timber</v>
          </cell>
          <cell r="F72">
            <v>0.14000000000000001</v>
          </cell>
        </row>
        <row r="73">
          <cell r="D73" t="str">
            <v>First Pacific</v>
          </cell>
          <cell r="E73" t="str">
            <v>Palm oil</v>
          </cell>
          <cell r="F73">
            <v>0.5439193083573487</v>
          </cell>
        </row>
        <row r="74">
          <cell r="D74" t="str">
            <v>FIRST PACIFIC CO LTD</v>
          </cell>
          <cell r="E74" t="str">
            <v>Palm oil</v>
          </cell>
          <cell r="F74">
            <v>0.5439193083573487</v>
          </cell>
        </row>
        <row r="75">
          <cell r="D75" t="str">
            <v>First Pacific Co Ltd</v>
          </cell>
          <cell r="E75" t="str">
            <v>Palm oil</v>
          </cell>
          <cell r="F75">
            <v>0.5439193083573487</v>
          </cell>
        </row>
        <row r="76">
          <cell r="D76" t="str">
            <v>First Pacific Company</v>
          </cell>
          <cell r="E76" t="str">
            <v>Palm oil</v>
          </cell>
          <cell r="F76">
            <v>0.5439193083573487</v>
          </cell>
        </row>
        <row r="77">
          <cell r="D77" t="str">
            <v>FP Finance Ltd</v>
          </cell>
          <cell r="E77" t="str">
            <v>Palm oil</v>
          </cell>
          <cell r="F77">
            <v>0.5439193083573487</v>
          </cell>
        </row>
        <row r="78">
          <cell r="D78" t="str">
            <v>FP Finance(2011)Ltd</v>
          </cell>
          <cell r="E78" t="str">
            <v>Palm oil</v>
          </cell>
          <cell r="F78">
            <v>0.5439193083573487</v>
          </cell>
        </row>
        <row r="79">
          <cell r="D79" t="str">
            <v>FP Finance(2013)Ltd</v>
          </cell>
          <cell r="E79" t="str">
            <v>Palm oil</v>
          </cell>
          <cell r="F79">
            <v>0.5439193083573487</v>
          </cell>
        </row>
        <row r="80">
          <cell r="D80" t="str">
            <v>FPC Finance Ltd</v>
          </cell>
          <cell r="E80" t="str">
            <v>Palm oil</v>
          </cell>
          <cell r="F80">
            <v>0.5439193083573487</v>
          </cell>
        </row>
        <row r="81">
          <cell r="D81" t="str">
            <v>FPMH Finance Ltd</v>
          </cell>
          <cell r="E81" t="str">
            <v>Palm oil</v>
          </cell>
          <cell r="F81">
            <v>0.5439193083573487</v>
          </cell>
        </row>
        <row r="82">
          <cell r="D82" t="str">
            <v>FPT Finance Ltd</v>
          </cell>
          <cell r="E82" t="str">
            <v>Palm oil</v>
          </cell>
          <cell r="F82">
            <v>0.5439193083573487</v>
          </cell>
        </row>
        <row r="83">
          <cell r="D83" t="str">
            <v>Genting</v>
          </cell>
          <cell r="E83" t="str">
            <v>Palm oil</v>
          </cell>
          <cell r="F83">
            <v>0.10480349344978167</v>
          </cell>
        </row>
        <row r="84">
          <cell r="D84" t="str">
            <v>Genting Berhard</v>
          </cell>
          <cell r="E84" t="str">
            <v>Palm oil</v>
          </cell>
          <cell r="F84">
            <v>0.10480349344978167</v>
          </cell>
        </row>
        <row r="85">
          <cell r="D85" t="str">
            <v>Genting Plantations</v>
          </cell>
          <cell r="E85" t="str">
            <v>Palm oil</v>
          </cell>
          <cell r="F85">
            <v>1</v>
          </cell>
        </row>
        <row r="86">
          <cell r="D86" t="str">
            <v>Asianindo Holdings Pte Ltd</v>
          </cell>
          <cell r="E86" t="str">
            <v>Palm oil</v>
          </cell>
          <cell r="F86">
            <v>1</v>
          </cell>
        </row>
        <row r="87">
          <cell r="D87" t="str">
            <v>Genting Bhd</v>
          </cell>
          <cell r="E87" t="str">
            <v>Palm oil</v>
          </cell>
          <cell r="F87">
            <v>0.10480349344978167</v>
          </cell>
        </row>
        <row r="88">
          <cell r="D88" t="str">
            <v>Genting Capital Bhd</v>
          </cell>
          <cell r="E88" t="str">
            <v>Palm oil</v>
          </cell>
          <cell r="F88">
            <v>0.10480349344978167</v>
          </cell>
        </row>
        <row r="89">
          <cell r="D89" t="str">
            <v>Genting International PLC</v>
          </cell>
          <cell r="E89" t="str">
            <v>Palm oil</v>
          </cell>
          <cell r="F89">
            <v>0.10480349344978167</v>
          </cell>
        </row>
        <row r="90">
          <cell r="D90" t="str">
            <v>Genting Intl Investment(UK)Ltd</v>
          </cell>
          <cell r="E90" t="str">
            <v>Palm oil</v>
          </cell>
          <cell r="F90">
            <v>0.10480349344978167</v>
          </cell>
        </row>
        <row r="91">
          <cell r="D91" t="str">
            <v>Genting Malaysia Bhd</v>
          </cell>
          <cell r="E91" t="str">
            <v>Palm oil</v>
          </cell>
          <cell r="F91">
            <v>0</v>
          </cell>
        </row>
        <row r="92">
          <cell r="D92" t="str">
            <v>Global Agripalm Invest Hldgs</v>
          </cell>
          <cell r="E92" t="str">
            <v>Palm oil</v>
          </cell>
          <cell r="F92">
            <v>1</v>
          </cell>
        </row>
        <row r="93">
          <cell r="D93" t="str">
            <v>Cahya Vidi Abadi</v>
          </cell>
          <cell r="E93" t="str">
            <v>Palm oil</v>
          </cell>
          <cell r="F93">
            <v>1</v>
          </cell>
        </row>
        <row r="94">
          <cell r="D94" t="str">
            <v>Golden Blossom Sumatra</v>
          </cell>
          <cell r="E94" t="str">
            <v>Palm oil</v>
          </cell>
          <cell r="F94">
            <v>1</v>
          </cell>
        </row>
        <row r="95">
          <cell r="D95" t="str">
            <v>Palmdale Agrosia Lestari Makmur</v>
          </cell>
          <cell r="E95" t="str">
            <v>Palm oil</v>
          </cell>
          <cell r="F95">
            <v>1</v>
          </cell>
        </row>
        <row r="96">
          <cell r="D96" t="str">
            <v>Suryabumi Agrolanggeng</v>
          </cell>
          <cell r="E96" t="str">
            <v>Palm oil</v>
          </cell>
          <cell r="F96">
            <v>1</v>
          </cell>
        </row>
        <row r="97">
          <cell r="D97" t="str">
            <v>Telaga Sari Persada</v>
          </cell>
          <cell r="E97" t="str">
            <v>Palm oil</v>
          </cell>
          <cell r="F97">
            <v>1</v>
          </cell>
        </row>
        <row r="98">
          <cell r="D98" t="str">
            <v>Gozco Plantations</v>
          </cell>
          <cell r="E98" t="str">
            <v>Palm oil</v>
          </cell>
          <cell r="F98">
            <v>1</v>
          </cell>
        </row>
        <row r="99">
          <cell r="D99" t="str">
            <v>Hap Seng Consolidated Bhd</v>
          </cell>
          <cell r="E99" t="str">
            <v>Palm oil</v>
          </cell>
          <cell r="F99">
            <v>0.161144854926627</v>
          </cell>
        </row>
        <row r="100">
          <cell r="D100" t="str">
            <v>Hap Seng Consolidated</v>
          </cell>
          <cell r="E100" t="str">
            <v>Palm oil</v>
          </cell>
          <cell r="F100">
            <v>0.161144854926627</v>
          </cell>
        </row>
        <row r="101">
          <cell r="D101" t="str">
            <v>Hafary Holdings Ltd</v>
          </cell>
          <cell r="E101" t="str">
            <v>Other</v>
          </cell>
          <cell r="F101">
            <v>0</v>
          </cell>
        </row>
        <row r="102">
          <cell r="D102" t="str">
            <v>Inverfin Sdn Bhd</v>
          </cell>
          <cell r="E102" t="str">
            <v>Other</v>
          </cell>
          <cell r="F102">
            <v>0</v>
          </cell>
        </row>
        <row r="103">
          <cell r="D103" t="str">
            <v>Hap Seng Plantations</v>
          </cell>
          <cell r="E103" t="str">
            <v>Palm oil</v>
          </cell>
          <cell r="F103">
            <v>1</v>
          </cell>
        </row>
        <row r="104">
          <cell r="D104" t="str">
            <v>BGA Group</v>
          </cell>
          <cell r="E104" t="str">
            <v>Palm oil</v>
          </cell>
          <cell r="F104">
            <v>1</v>
          </cell>
        </row>
        <row r="105">
          <cell r="D105" t="str">
            <v>Bumitama Agri Ltd</v>
          </cell>
          <cell r="E105" t="str">
            <v>Palm oil</v>
          </cell>
          <cell r="F105">
            <v>1</v>
          </cell>
        </row>
        <row r="106">
          <cell r="D106" t="str">
            <v>Bumitama Agri Pte Ltd</v>
          </cell>
          <cell r="E106" t="str">
            <v>Palm oil</v>
          </cell>
          <cell r="F106">
            <v>1</v>
          </cell>
        </row>
        <row r="107">
          <cell r="D107" t="str">
            <v>Agro Sejahtera Manunggal</v>
          </cell>
          <cell r="E107" t="str">
            <v>Palm oil</v>
          </cell>
          <cell r="F107">
            <v>1</v>
          </cell>
        </row>
        <row r="108">
          <cell r="D108" t="str">
            <v>PT Agro Sejahtera Manunggal</v>
          </cell>
          <cell r="E108" t="str">
            <v>Palm oil</v>
          </cell>
          <cell r="F108">
            <v>1</v>
          </cell>
        </row>
        <row r="109">
          <cell r="D109" t="str">
            <v>Bumitama Gunajaya Abadi</v>
          </cell>
          <cell r="E109" t="str">
            <v>Palm oil</v>
          </cell>
          <cell r="F109">
            <v>1</v>
          </cell>
        </row>
        <row r="110">
          <cell r="D110" t="str">
            <v>PT Bumitama Gunajaya Abadi</v>
          </cell>
          <cell r="E110" t="str">
            <v>Palm oil</v>
          </cell>
          <cell r="F110">
            <v>1</v>
          </cell>
        </row>
        <row r="111">
          <cell r="D111" t="str">
            <v>Bumitama Gunajaya Agro</v>
          </cell>
          <cell r="E111" t="str">
            <v>Palm oil</v>
          </cell>
          <cell r="F111">
            <v>1</v>
          </cell>
        </row>
        <row r="112">
          <cell r="D112" t="str">
            <v>PT Bumitama Gunajaya Agro</v>
          </cell>
          <cell r="E112" t="str">
            <v>Palm oil</v>
          </cell>
          <cell r="F112">
            <v>1</v>
          </cell>
        </row>
        <row r="113">
          <cell r="D113" t="str">
            <v>Gunajay Ketapang Sentosa</v>
          </cell>
          <cell r="E113" t="str">
            <v>Palm oil</v>
          </cell>
          <cell r="F113">
            <v>1</v>
          </cell>
        </row>
        <row r="114">
          <cell r="D114" t="str">
            <v>PT Gunajay Ketapang Sentosa</v>
          </cell>
          <cell r="E114" t="str">
            <v>Palm oil</v>
          </cell>
          <cell r="F114">
            <v>1</v>
          </cell>
        </row>
        <row r="115">
          <cell r="D115" t="str">
            <v>PT Gunajaya Karya Gemilang</v>
          </cell>
          <cell r="E115" t="str">
            <v>Palm oil</v>
          </cell>
          <cell r="F115">
            <v>1</v>
          </cell>
        </row>
        <row r="116">
          <cell r="D116" t="str">
            <v>Karya Makmur Bahagia</v>
          </cell>
          <cell r="E116" t="str">
            <v>Palm oil</v>
          </cell>
          <cell r="F116">
            <v>1</v>
          </cell>
        </row>
        <row r="117">
          <cell r="D117" t="str">
            <v>PT Karya Makmur Bahagia</v>
          </cell>
          <cell r="E117" t="str">
            <v>Palm oil</v>
          </cell>
          <cell r="F117">
            <v>1</v>
          </cell>
        </row>
        <row r="118">
          <cell r="D118" t="str">
            <v>PT Rohul Sawi Industri</v>
          </cell>
          <cell r="E118" t="str">
            <v>Palm oil</v>
          </cell>
          <cell r="F118">
            <v>1</v>
          </cell>
        </row>
        <row r="119">
          <cell r="D119" t="str">
            <v>PT Windu Nabatindo Lestari</v>
          </cell>
          <cell r="E119" t="str">
            <v>Palm oil</v>
          </cell>
          <cell r="F119">
            <v>1</v>
          </cell>
        </row>
        <row r="120">
          <cell r="D120" t="str">
            <v>PT Windu Nabatindo Lestari, PT Rohul Sowit Industri, PT Masuba Citra Mandiri</v>
          </cell>
          <cell r="E120" t="str">
            <v>Palm oil</v>
          </cell>
          <cell r="F120">
            <v>1</v>
          </cell>
        </row>
        <row r="121">
          <cell r="D121" t="str">
            <v>Windu Nabatindo Lestari</v>
          </cell>
          <cell r="E121" t="str">
            <v>Palm oil</v>
          </cell>
          <cell r="F121">
            <v>1</v>
          </cell>
        </row>
        <row r="122">
          <cell r="D122" t="str">
            <v>Windu Nabatindo Lestari, Rohul Sowit Industri, Masuba Citra Mandiri</v>
          </cell>
          <cell r="E122" t="str">
            <v>Palm oil</v>
          </cell>
          <cell r="F122">
            <v>1</v>
          </cell>
        </row>
        <row r="123">
          <cell r="D123" t="str">
            <v>Bumitama Agri</v>
          </cell>
          <cell r="E123" t="str">
            <v>Palm oil</v>
          </cell>
          <cell r="F123">
            <v>1</v>
          </cell>
        </row>
        <row r="124">
          <cell r="D124" t="str">
            <v>Besraya (Malaysia) Sdn Bhd</v>
          </cell>
          <cell r="E124" t="str">
            <v>Other</v>
          </cell>
          <cell r="F124">
            <v>0</v>
          </cell>
        </row>
        <row r="125">
          <cell r="D125" t="str">
            <v>IJM Corp Bhd</v>
          </cell>
          <cell r="E125" t="str">
            <v>Palm oil</v>
          </cell>
          <cell r="F125">
            <v>0.12002216706304025</v>
          </cell>
        </row>
        <row r="126">
          <cell r="D126" t="str">
            <v>IJM Corporation</v>
          </cell>
          <cell r="E126" t="str">
            <v>Palm oil</v>
          </cell>
          <cell r="F126">
            <v>0.12002216706304025</v>
          </cell>
        </row>
        <row r="127">
          <cell r="D127" t="str">
            <v>IJM Plantations</v>
          </cell>
          <cell r="E127" t="str">
            <v>Palm oil</v>
          </cell>
          <cell r="F127">
            <v>1</v>
          </cell>
        </row>
        <row r="128">
          <cell r="D128" t="str">
            <v>IJM Plantations Bhd</v>
          </cell>
          <cell r="E128" t="str">
            <v>Palm oil</v>
          </cell>
          <cell r="F128">
            <v>1</v>
          </cell>
        </row>
        <row r="129">
          <cell r="D129" t="str">
            <v>Java Bhd</v>
          </cell>
          <cell r="E129" t="str">
            <v>Timber</v>
          </cell>
          <cell r="F129">
            <v>1</v>
          </cell>
        </row>
        <row r="130">
          <cell r="D130" t="str">
            <v>Kulim(Malaysia)Bhd</v>
          </cell>
          <cell r="E130" t="str">
            <v>Palm oil</v>
          </cell>
          <cell r="F130">
            <v>0.87678616302587842</v>
          </cell>
        </row>
        <row r="131">
          <cell r="D131" t="str">
            <v>Kulim (Malaysia)</v>
          </cell>
          <cell r="E131" t="str">
            <v>Palm oil</v>
          </cell>
          <cell r="F131">
            <v>0.87678616302587842</v>
          </cell>
        </row>
        <row r="132">
          <cell r="D132" t="str">
            <v>Johor Corp</v>
          </cell>
          <cell r="E132" t="str">
            <v>Palm oil</v>
          </cell>
          <cell r="F132">
            <v>0.4648036788114609</v>
          </cell>
        </row>
        <row r="133">
          <cell r="D133" t="str">
            <v>JOHOR CORPORATION, MALAYSIA</v>
          </cell>
          <cell r="E133" t="str">
            <v>Palm oil</v>
          </cell>
          <cell r="F133">
            <v>0.4648036788114609</v>
          </cell>
        </row>
        <row r="134">
          <cell r="D134" t="str">
            <v>Kencana Agri</v>
          </cell>
          <cell r="E134" t="str">
            <v>Palm oil</v>
          </cell>
          <cell r="F134">
            <v>1</v>
          </cell>
        </row>
        <row r="135">
          <cell r="D135" t="str">
            <v>Kwantas Corp Bhd</v>
          </cell>
          <cell r="E135" t="str">
            <v>Palm oil</v>
          </cell>
          <cell r="F135">
            <v>0.98036855657610678</v>
          </cell>
        </row>
        <row r="136">
          <cell r="D136" t="str">
            <v>Kwantas Corporation</v>
          </cell>
          <cell r="E136" t="str">
            <v>Palm oil</v>
          </cell>
          <cell r="F136">
            <v>0.98036855657610678</v>
          </cell>
        </row>
        <row r="137">
          <cell r="D137" t="str">
            <v>Musim Mas</v>
          </cell>
          <cell r="E137" t="str">
            <v>Palm oil</v>
          </cell>
          <cell r="F137">
            <v>1</v>
          </cell>
        </row>
        <row r="138">
          <cell r="D138" t="str">
            <v>New Britain Palm Oil Ltd</v>
          </cell>
          <cell r="E138" t="str">
            <v>Palm oil</v>
          </cell>
          <cell r="F138">
            <v>1</v>
          </cell>
        </row>
        <row r="139">
          <cell r="D139" t="str">
            <v>New Britain Palm Oil</v>
          </cell>
          <cell r="E139" t="str">
            <v>Palm oil</v>
          </cell>
          <cell r="F139">
            <v>1</v>
          </cell>
        </row>
        <row r="140">
          <cell r="D140" t="str">
            <v>Olam International</v>
          </cell>
          <cell r="E140" t="str">
            <v>Palm oil</v>
          </cell>
          <cell r="F140">
            <v>0.2</v>
          </cell>
        </row>
        <row r="141">
          <cell r="D141" t="str">
            <v>Olam International</v>
          </cell>
          <cell r="E141" t="str">
            <v>Timber</v>
          </cell>
          <cell r="F141">
            <v>7.0000000000000007E-2</v>
          </cell>
        </row>
        <row r="142">
          <cell r="D142" t="str">
            <v>Olam Australia Pty Ltd</v>
          </cell>
          <cell r="E142" t="str">
            <v>Palm oil</v>
          </cell>
          <cell r="F142">
            <v>0</v>
          </cell>
        </row>
        <row r="143">
          <cell r="D143" t="str">
            <v>Olam Australia Pty Ltd</v>
          </cell>
          <cell r="E143" t="str">
            <v>Timber</v>
          </cell>
          <cell r="F143">
            <v>0</v>
          </cell>
        </row>
        <row r="144">
          <cell r="D144" t="str">
            <v>Olam Holdings Partnership</v>
          </cell>
          <cell r="E144" t="str">
            <v>Palm oil</v>
          </cell>
          <cell r="F144">
            <v>0.2</v>
          </cell>
        </row>
        <row r="145">
          <cell r="D145" t="str">
            <v>Olam Holdings Partnership</v>
          </cell>
          <cell r="E145" t="str">
            <v>Timber</v>
          </cell>
          <cell r="F145">
            <v>7.0000000000000007E-2</v>
          </cell>
        </row>
        <row r="146">
          <cell r="D146" t="str">
            <v>Olam International Ltd</v>
          </cell>
          <cell r="E146" t="str">
            <v>Palm oil</v>
          </cell>
          <cell r="F146">
            <v>0.2</v>
          </cell>
        </row>
        <row r="147">
          <cell r="D147" t="str">
            <v>Olam International Ltd</v>
          </cell>
          <cell r="E147" t="str">
            <v>Timber</v>
          </cell>
          <cell r="F147">
            <v>7.0000000000000007E-2</v>
          </cell>
        </row>
        <row r="148">
          <cell r="D148" t="str">
            <v>Olam Palm Gabon [OPG]</v>
          </cell>
          <cell r="E148" t="str">
            <v>Palm oil</v>
          </cell>
          <cell r="F148">
            <v>0.7</v>
          </cell>
        </row>
        <row r="149">
          <cell r="D149" t="str">
            <v>Olam Palm Gabon [OPG]</v>
          </cell>
          <cell r="E149" t="str">
            <v>Timber</v>
          </cell>
          <cell r="F149">
            <v>0.25</v>
          </cell>
        </row>
        <row r="150">
          <cell r="D150" t="str">
            <v>PTPN V</v>
          </cell>
          <cell r="E150" t="str">
            <v>Palm oil</v>
          </cell>
          <cell r="F150">
            <v>9.3117992262262056E-2</v>
          </cell>
        </row>
        <row r="151">
          <cell r="D151" t="str">
            <v>PTPN VII</v>
          </cell>
          <cell r="E151" t="str">
            <v>Palm oil</v>
          </cell>
          <cell r="F151">
            <v>0.28648393446546949</v>
          </cell>
        </row>
        <row r="152">
          <cell r="D152" t="str">
            <v>PTPN XIII(DNU)</v>
          </cell>
          <cell r="E152" t="str">
            <v>Palm oil</v>
          </cell>
          <cell r="F152">
            <v>0.88797217014867469</v>
          </cell>
        </row>
        <row r="153">
          <cell r="D153" t="str">
            <v>April Fine Paper</v>
          </cell>
          <cell r="E153" t="str">
            <v>Pulp &amp; paper</v>
          </cell>
          <cell r="F153">
            <v>1</v>
          </cell>
        </row>
        <row r="154">
          <cell r="D154" t="str">
            <v>APRIL Fine Paper Guangdong</v>
          </cell>
          <cell r="E154" t="str">
            <v>Pulp &amp; paper</v>
          </cell>
          <cell r="F154">
            <v>1</v>
          </cell>
        </row>
        <row r="155">
          <cell r="D155" t="str">
            <v>APRIL Fine Paper Trading Pte</v>
          </cell>
          <cell r="E155" t="str">
            <v>Pulp &amp; paper</v>
          </cell>
          <cell r="F155">
            <v>1</v>
          </cell>
        </row>
        <row r="156">
          <cell r="D156" t="str">
            <v>Asia Symbol(Guangdong)Paper Co</v>
          </cell>
          <cell r="E156" t="str">
            <v>Pulp &amp; paper</v>
          </cell>
          <cell r="F156">
            <v>1</v>
          </cell>
        </row>
        <row r="157">
          <cell r="D157" t="str">
            <v>Asia Symbol(Shandong)Paper Co</v>
          </cell>
          <cell r="E157" t="str">
            <v>Pulp &amp; paper</v>
          </cell>
          <cell r="F157">
            <v>1</v>
          </cell>
        </row>
        <row r="158">
          <cell r="D158" t="str">
            <v>Riau Andalan Pulp and Paper</v>
          </cell>
          <cell r="E158" t="str">
            <v>Pulp &amp; paper</v>
          </cell>
          <cell r="F158">
            <v>1</v>
          </cell>
        </row>
        <row r="159">
          <cell r="D159" t="str">
            <v>Eagle High Plantation</v>
          </cell>
          <cell r="E159" t="str">
            <v>Palm oil</v>
          </cell>
          <cell r="F159">
            <v>1</v>
          </cell>
        </row>
        <row r="160">
          <cell r="D160" t="str">
            <v>Green Eagle Holding Pte Ltd</v>
          </cell>
          <cell r="E160" t="str">
            <v>Palm oil</v>
          </cell>
          <cell r="F160">
            <v>1</v>
          </cell>
        </row>
        <row r="161">
          <cell r="D161" t="str">
            <v>Green Eagle Resources</v>
          </cell>
          <cell r="E161" t="str">
            <v>Palm oil</v>
          </cell>
          <cell r="F161">
            <v>1</v>
          </cell>
        </row>
        <row r="162">
          <cell r="D162" t="str">
            <v>Jaya Tiasa Holdings</v>
          </cell>
          <cell r="E162" t="str">
            <v>Palm oil</v>
          </cell>
          <cell r="F162">
            <v>0.25229423292595587</v>
          </cell>
        </row>
        <row r="163">
          <cell r="D163" t="str">
            <v>Jaya Tiasa Holdings</v>
          </cell>
          <cell r="E163" t="str">
            <v>Timber</v>
          </cell>
          <cell r="F163">
            <v>0.73599683125269144</v>
          </cell>
        </row>
        <row r="164">
          <cell r="D164" t="str">
            <v>Jaya Tiasa Holdings Bhd</v>
          </cell>
          <cell r="E164" t="str">
            <v>Palm oil</v>
          </cell>
          <cell r="F164">
            <v>0.25229423292595587</v>
          </cell>
        </row>
        <row r="165">
          <cell r="D165" t="str">
            <v>Jaya Tiasa Holdings Bhd</v>
          </cell>
          <cell r="E165" t="str">
            <v>Timber</v>
          </cell>
          <cell r="F165">
            <v>0.73599683125269144</v>
          </cell>
        </row>
        <row r="166">
          <cell r="D166" t="str">
            <v>Rimbunan Hijau Group</v>
          </cell>
          <cell r="E166" t="str">
            <v>Palm oil</v>
          </cell>
          <cell r="F166">
            <v>0.3</v>
          </cell>
        </row>
        <row r="167">
          <cell r="D167" t="str">
            <v>Rimbunan Hijau Group</v>
          </cell>
          <cell r="E167" t="str">
            <v>Timber</v>
          </cell>
          <cell r="F167">
            <v>0.3</v>
          </cell>
        </row>
        <row r="168">
          <cell r="D168" t="str">
            <v>Rimbunan Sawit Bhd</v>
          </cell>
          <cell r="E168" t="str">
            <v>Palm oil</v>
          </cell>
          <cell r="F168">
            <v>1</v>
          </cell>
        </row>
        <row r="169">
          <cell r="D169" t="str">
            <v>Rimbunan Sawit</v>
          </cell>
          <cell r="E169" t="str">
            <v>Palm oil</v>
          </cell>
          <cell r="F169">
            <v>1</v>
          </cell>
        </row>
        <row r="170">
          <cell r="D170" t="str">
            <v>Subur Tiasa Holdings</v>
          </cell>
          <cell r="E170" t="str">
            <v>Palm oil</v>
          </cell>
          <cell r="F170">
            <v>0.15490802507510246</v>
          </cell>
        </row>
        <row r="171">
          <cell r="D171" t="str">
            <v>Subur Tiasa Holdings</v>
          </cell>
          <cell r="E171" t="str">
            <v>Timber</v>
          </cell>
          <cell r="F171">
            <v>0.49967023783377323</v>
          </cell>
        </row>
        <row r="172">
          <cell r="D172" t="str">
            <v>Subur Tiasa Holdings Bhd</v>
          </cell>
          <cell r="E172" t="str">
            <v>Palm oil</v>
          </cell>
          <cell r="F172">
            <v>0.15490802507510246</v>
          </cell>
        </row>
        <row r="173">
          <cell r="D173" t="str">
            <v>Subur Tiasa Holdings Bhd</v>
          </cell>
          <cell r="E173" t="str">
            <v>Timber</v>
          </cell>
          <cell r="F173">
            <v>0.49967023783377323</v>
          </cell>
        </row>
        <row r="174">
          <cell r="D174" t="str">
            <v>Rougier Group</v>
          </cell>
          <cell r="E174" t="str">
            <v>Timber</v>
          </cell>
          <cell r="F174">
            <v>1</v>
          </cell>
        </row>
        <row r="175">
          <cell r="D175" t="str">
            <v>AP Enterprises(Macao)</v>
          </cell>
          <cell r="E175" t="str">
            <v>Pulp &amp; paper</v>
          </cell>
          <cell r="F175">
            <v>1</v>
          </cell>
        </row>
        <row r="176">
          <cell r="D176" t="str">
            <v>APICAL Group</v>
          </cell>
          <cell r="E176" t="str">
            <v>Palm oil</v>
          </cell>
          <cell r="F176">
            <v>1</v>
          </cell>
        </row>
        <row r="177">
          <cell r="D177" t="str">
            <v>Asia Symbol China Holdings Ltd</v>
          </cell>
          <cell r="E177" t="str">
            <v>Pulp &amp; paper</v>
          </cell>
          <cell r="F177">
            <v>1</v>
          </cell>
        </row>
        <row r="178">
          <cell r="D178" t="str">
            <v>Gold Crest Capital Ltd</v>
          </cell>
          <cell r="E178" t="str">
            <v>Pulp &amp; paper</v>
          </cell>
          <cell r="F178">
            <v>1</v>
          </cell>
        </row>
        <row r="179">
          <cell r="D179" t="str">
            <v>Toba Pulp</v>
          </cell>
          <cell r="E179" t="str">
            <v>Pulp &amp; paper</v>
          </cell>
          <cell r="F179">
            <v>1</v>
          </cell>
        </row>
        <row r="180">
          <cell r="D180" t="str">
            <v>Samko Timber Ltd</v>
          </cell>
          <cell r="E180" t="str">
            <v>Timber</v>
          </cell>
          <cell r="F180">
            <v>1</v>
          </cell>
        </row>
        <row r="181">
          <cell r="D181" t="str">
            <v>Samko Timber</v>
          </cell>
          <cell r="E181" t="str">
            <v>Timber</v>
          </cell>
          <cell r="F181">
            <v>1</v>
          </cell>
        </row>
        <row r="182">
          <cell r="D182" t="str">
            <v>Samko Timber Group</v>
          </cell>
          <cell r="E182" t="str">
            <v>Timber</v>
          </cell>
          <cell r="F182">
            <v>1</v>
          </cell>
        </row>
        <row r="183">
          <cell r="D183" t="str">
            <v>Sumalindo Lestari Jaya Tbk PT</v>
          </cell>
          <cell r="E183" t="str">
            <v>Timber</v>
          </cell>
          <cell r="F183">
            <v>1</v>
          </cell>
        </row>
        <row r="184">
          <cell r="D184" t="str">
            <v>Glenealy Plantations(Malaya)</v>
          </cell>
          <cell r="E184" t="str">
            <v>Palm oil</v>
          </cell>
          <cell r="F184">
            <v>1</v>
          </cell>
        </row>
        <row r="185">
          <cell r="D185" t="str">
            <v>Lanang Agro Bersatu</v>
          </cell>
          <cell r="E185" t="str">
            <v>Palm oil</v>
          </cell>
          <cell r="F185">
            <v>1</v>
          </cell>
        </row>
        <row r="186">
          <cell r="D186" t="str">
            <v>Mutiara Bunda Jaya</v>
          </cell>
          <cell r="E186" t="str">
            <v>Palm oil</v>
          </cell>
          <cell r="F186">
            <v>1</v>
          </cell>
        </row>
        <row r="187">
          <cell r="D187" t="str">
            <v>Sampoerna Agro</v>
          </cell>
          <cell r="E187" t="str">
            <v>Palm oil</v>
          </cell>
          <cell r="F187">
            <v>1</v>
          </cell>
        </row>
        <row r="188">
          <cell r="D188" t="str">
            <v>Sampoerna Agro Tbk PT</v>
          </cell>
          <cell r="E188" t="str">
            <v>Palm oil</v>
          </cell>
          <cell r="F188">
            <v>1</v>
          </cell>
        </row>
        <row r="189">
          <cell r="D189" t="str">
            <v>Sampoerna Bio Fuels</v>
          </cell>
          <cell r="E189" t="str">
            <v>Palm oil</v>
          </cell>
          <cell r="F189">
            <v>1</v>
          </cell>
        </row>
        <row r="190">
          <cell r="D190" t="str">
            <v>Sawit Selatan</v>
          </cell>
          <cell r="E190" t="str">
            <v>Palm oil</v>
          </cell>
          <cell r="F190">
            <v>1</v>
          </cell>
        </row>
        <row r="191">
          <cell r="D191" t="str">
            <v>Selatanjaya Permai</v>
          </cell>
          <cell r="E191" t="str">
            <v>Palm oil</v>
          </cell>
          <cell r="F191">
            <v>1</v>
          </cell>
        </row>
        <row r="192">
          <cell r="D192" t="str">
            <v>Sungai Rangit</v>
          </cell>
          <cell r="E192" t="str">
            <v>Palm oil</v>
          </cell>
          <cell r="F192">
            <v>1</v>
          </cell>
        </row>
        <row r="193">
          <cell r="D193" t="str">
            <v>Telaga Hikmah</v>
          </cell>
          <cell r="E193" t="str">
            <v>Palm oil</v>
          </cell>
          <cell r="F193">
            <v>1</v>
          </cell>
        </row>
        <row r="194">
          <cell r="D194" t="str">
            <v>Sampoerna Agro Group</v>
          </cell>
          <cell r="E194" t="str">
            <v>Palm oil</v>
          </cell>
          <cell r="F194">
            <v>1</v>
          </cell>
        </row>
        <row r="195">
          <cell r="D195" t="str">
            <v>Sarawak Oil Palms Bhd</v>
          </cell>
          <cell r="E195" t="str">
            <v>Palm oil</v>
          </cell>
          <cell r="F195">
            <v>0.85674361182590675</v>
          </cell>
        </row>
        <row r="196">
          <cell r="D196" t="str">
            <v>Sarawak Oil Palms</v>
          </cell>
          <cell r="E196" t="str">
            <v>Palm oil</v>
          </cell>
          <cell r="F196">
            <v>0.85674361182590675</v>
          </cell>
        </row>
        <row r="197">
          <cell r="D197" t="str">
            <v>Tunas Baru Lampung</v>
          </cell>
          <cell r="E197" t="str">
            <v>Palm oil</v>
          </cell>
          <cell r="F197">
            <v>1</v>
          </cell>
        </row>
        <row r="198">
          <cell r="D198" t="str">
            <v>Tunas Baru Lampung Tbk PT</v>
          </cell>
          <cell r="E198" t="str">
            <v>Palm oil</v>
          </cell>
          <cell r="F198">
            <v>1</v>
          </cell>
        </row>
        <row r="199">
          <cell r="D199" t="str">
            <v>First Resources</v>
          </cell>
          <cell r="E199" t="str">
            <v>Palm oil</v>
          </cell>
          <cell r="F199">
            <v>1</v>
          </cell>
        </row>
        <row r="200">
          <cell r="D200" t="str">
            <v>First Resources Ltd</v>
          </cell>
          <cell r="E200" t="str">
            <v>Palm oil</v>
          </cell>
          <cell r="F200">
            <v>1</v>
          </cell>
        </row>
        <row r="201">
          <cell r="D201" t="str">
            <v>Ta Ann Holdings</v>
          </cell>
          <cell r="E201" t="str">
            <v>Timber</v>
          </cell>
          <cell r="F201">
            <v>0.48</v>
          </cell>
        </row>
        <row r="202">
          <cell r="D202" t="str">
            <v>Tadmax Resources</v>
          </cell>
          <cell r="E202" t="str">
            <v>Timber</v>
          </cell>
          <cell r="F202">
            <v>1.1407773772598988E-2</v>
          </cell>
        </row>
        <row r="203">
          <cell r="D203" t="str">
            <v>Tadmax Resources Bhd</v>
          </cell>
          <cell r="E203" t="str">
            <v>Timber</v>
          </cell>
          <cell r="F203">
            <v>1.1407773772598988E-2</v>
          </cell>
        </row>
        <row r="204">
          <cell r="D204" t="str">
            <v>Agro Multi Persada PT</v>
          </cell>
          <cell r="E204" t="str">
            <v>Palm oil</v>
          </cell>
          <cell r="F204">
            <v>0.96</v>
          </cell>
        </row>
        <row r="205">
          <cell r="D205" t="str">
            <v>Triputra Agro Persada PT</v>
          </cell>
          <cell r="E205" t="str">
            <v>Palm oil</v>
          </cell>
          <cell r="F205">
            <v>0.96</v>
          </cell>
        </row>
        <row r="206">
          <cell r="D206" t="str">
            <v>TSH Resources</v>
          </cell>
          <cell r="E206" t="str">
            <v>Palm oil</v>
          </cell>
          <cell r="F206">
            <v>0.79010443478214398</v>
          </cell>
        </row>
        <row r="207">
          <cell r="D207" t="str">
            <v>TSH Resources Bhd</v>
          </cell>
          <cell r="E207" t="str">
            <v>Palm oil</v>
          </cell>
          <cell r="F207">
            <v>0.79010443478214398</v>
          </cell>
        </row>
        <row r="208">
          <cell r="D208" t="str">
            <v>TSH Sukuk Ijarah Sdn Bhd</v>
          </cell>
          <cell r="E208" t="str">
            <v>Palm oil</v>
          </cell>
          <cell r="F208">
            <v>1</v>
          </cell>
        </row>
        <row r="209">
          <cell r="D209" t="str">
            <v>TSH Sukuk Musyarakah Sdn Bhd</v>
          </cell>
          <cell r="E209" t="str">
            <v>Palm oil</v>
          </cell>
          <cell r="F209">
            <v>1</v>
          </cell>
        </row>
        <row r="210">
          <cell r="D210" t="str">
            <v>United International Enterprises</v>
          </cell>
          <cell r="E210" t="str">
            <v>Palm oil</v>
          </cell>
          <cell r="F210">
            <v>1</v>
          </cell>
        </row>
        <row r="211">
          <cell r="D211" t="str">
            <v>United Plantations</v>
          </cell>
          <cell r="E211" t="str">
            <v>Palm oil</v>
          </cell>
          <cell r="F211">
            <v>1</v>
          </cell>
        </row>
        <row r="212">
          <cell r="D212" t="str">
            <v>Wasco Energy Ltd</v>
          </cell>
          <cell r="E212" t="str">
            <v>Other</v>
          </cell>
          <cell r="F212">
            <v>0</v>
          </cell>
        </row>
        <row r="213">
          <cell r="D213" t="str">
            <v>Wah Seong</v>
          </cell>
          <cell r="E213" t="str">
            <v>Palm oil</v>
          </cell>
          <cell r="F213">
            <v>7.6301437134252886E-2</v>
          </cell>
        </row>
        <row r="214">
          <cell r="D214" t="str">
            <v>Wah Seong</v>
          </cell>
          <cell r="E214" t="str">
            <v>Timber</v>
          </cell>
          <cell r="F214">
            <v>0.2</v>
          </cell>
        </row>
        <row r="215">
          <cell r="D215" t="str">
            <v>Wah Seong Corporation</v>
          </cell>
          <cell r="E215" t="str">
            <v>Palm oil</v>
          </cell>
          <cell r="F215">
            <v>7.6301437134252886E-2</v>
          </cell>
        </row>
        <row r="216">
          <cell r="D216" t="str">
            <v>Wah Seong Corporation</v>
          </cell>
          <cell r="E216" t="str">
            <v>Timber</v>
          </cell>
          <cell r="F216">
            <v>0.2</v>
          </cell>
        </row>
        <row r="217">
          <cell r="D217" t="str">
            <v>Wijma Group</v>
          </cell>
          <cell r="E217" t="str">
            <v>Timber</v>
          </cell>
          <cell r="F217">
            <v>1</v>
          </cell>
        </row>
        <row r="218">
          <cell r="D218" t="str">
            <v>WTK Holding</v>
          </cell>
          <cell r="E218" t="str">
            <v>Timber</v>
          </cell>
          <cell r="F218">
            <v>1</v>
          </cell>
        </row>
        <row r="219">
          <cell r="D219" t="str">
            <v>WTK Holdings</v>
          </cell>
          <cell r="E219" t="str">
            <v>Timber</v>
          </cell>
          <cell r="F219">
            <v>1</v>
          </cell>
        </row>
        <row r="221">
          <cell r="D221" t="str">
            <v>OJI PAPER CO LTD (NEW)</v>
          </cell>
          <cell r="E221" t="str">
            <v>Pulp &amp; paper</v>
          </cell>
          <cell r="F221">
            <v>0</v>
          </cell>
        </row>
        <row r="222">
          <cell r="D222" t="str">
            <v>Oji Group</v>
          </cell>
          <cell r="E222" t="str">
            <v>Pulp &amp; paper</v>
          </cell>
          <cell r="F222">
            <v>0.26350681944401938</v>
          </cell>
        </row>
        <row r="223">
          <cell r="D223" t="str">
            <v>Jiangsu Oji Paper Co Ltd</v>
          </cell>
          <cell r="E223" t="str">
            <v>Pulp &amp; paper</v>
          </cell>
          <cell r="F223">
            <v>0</v>
          </cell>
        </row>
        <row r="224">
          <cell r="D224" t="str">
            <v>Oji Paper Co Ltd</v>
          </cell>
          <cell r="E224" t="str">
            <v>Pulp &amp; paper</v>
          </cell>
          <cell r="F224">
            <v>0</v>
          </cell>
        </row>
        <row r="225">
          <cell r="D225" t="str">
            <v>Oji Holdings</v>
          </cell>
          <cell r="E225" t="str">
            <v>Pulp &amp; paper</v>
          </cell>
          <cell r="F225">
            <v>0.26350645512167747</v>
          </cell>
        </row>
        <row r="226">
          <cell r="D226" t="str">
            <v>Oji Holdings Corp</v>
          </cell>
          <cell r="E226" t="str">
            <v>Pulp &amp; paper</v>
          </cell>
          <cell r="F226">
            <v>0.26350645512167747</v>
          </cell>
        </row>
        <row r="227">
          <cell r="D227" t="str">
            <v>OJI PAPER CO LTD (NEW)</v>
          </cell>
          <cell r="E227" t="str">
            <v>Pulp &amp; paper</v>
          </cell>
          <cell r="F227">
            <v>0</v>
          </cell>
        </row>
        <row r="228">
          <cell r="D228" t="str">
            <v>Oji Group</v>
          </cell>
          <cell r="E228" t="str">
            <v>Pulp &amp; paper</v>
          </cell>
          <cell r="F228">
            <v>0.26350681944401938</v>
          </cell>
        </row>
        <row r="229">
          <cell r="D229" t="str">
            <v>Jiangsu Oji Paper Co Ltd</v>
          </cell>
          <cell r="E229" t="str">
            <v>Pulp &amp; paper</v>
          </cell>
          <cell r="F229">
            <v>0</v>
          </cell>
        </row>
        <row r="230">
          <cell r="D230" t="str">
            <v>Oji Paper Co Ltd</v>
          </cell>
          <cell r="E230" t="str">
            <v>Pulp &amp; paper</v>
          </cell>
          <cell r="F230">
            <v>0</v>
          </cell>
        </row>
        <row r="231">
          <cell r="D231" t="str">
            <v>Oji Holdings</v>
          </cell>
          <cell r="E231" t="str">
            <v>Pulp &amp; paper</v>
          </cell>
          <cell r="F231">
            <v>0.26350645512167747</v>
          </cell>
        </row>
        <row r="232">
          <cell r="D232" t="str">
            <v>Oji Holdings Corp</v>
          </cell>
          <cell r="E232" t="str">
            <v>Pulp &amp; paper</v>
          </cell>
          <cell r="F232">
            <v>0.26350645512167747</v>
          </cell>
        </row>
        <row r="233">
          <cell r="D233" t="str">
            <v>OJI PAPER CO LTD (NEW)</v>
          </cell>
          <cell r="E233" t="str">
            <v>Pulp &amp; paper</v>
          </cell>
          <cell r="F233">
            <v>0</v>
          </cell>
        </row>
        <row r="234">
          <cell r="D234" t="str">
            <v>Oji Group</v>
          </cell>
          <cell r="E234" t="str">
            <v>Pulp &amp; paper</v>
          </cell>
          <cell r="F234">
            <v>0.23480208129042843</v>
          </cell>
        </row>
        <row r="235">
          <cell r="D235" t="str">
            <v>Jiangsu Oji Paper Co Ltd</v>
          </cell>
          <cell r="E235" t="str">
            <v>Pulp &amp; paper</v>
          </cell>
          <cell r="F235">
            <v>0</v>
          </cell>
        </row>
        <row r="236">
          <cell r="D236" t="str">
            <v>Oji Paper Co Ltd</v>
          </cell>
          <cell r="E236" t="str">
            <v>Pulp &amp; paper</v>
          </cell>
          <cell r="F236">
            <v>0</v>
          </cell>
        </row>
        <row r="237">
          <cell r="D237" t="str">
            <v>Oji Holdings</v>
          </cell>
          <cell r="E237" t="str">
            <v>Pulp &amp; paper</v>
          </cell>
          <cell r="F237">
            <v>0.23480194022782716</v>
          </cell>
        </row>
        <row r="238">
          <cell r="D238" t="str">
            <v>Oji Holdings Corp</v>
          </cell>
          <cell r="E238" t="str">
            <v>Pulp &amp; paper</v>
          </cell>
          <cell r="F238">
            <v>0.23480194022782716</v>
          </cell>
        </row>
        <row r="239">
          <cell r="D239" t="str">
            <v>OJI PAPER CO LTD (NEW)</v>
          </cell>
          <cell r="E239" t="str">
            <v>Pulp &amp; paper</v>
          </cell>
          <cell r="F239">
            <v>0</v>
          </cell>
        </row>
        <row r="240">
          <cell r="D240" t="str">
            <v>Oji Group</v>
          </cell>
          <cell r="E240" t="str">
            <v>Pulp &amp; paper</v>
          </cell>
          <cell r="F240">
            <v>0.14823528246285067</v>
          </cell>
        </row>
        <row r="241">
          <cell r="D241" t="str">
            <v>Jiangsu Oji Paper Co Ltd</v>
          </cell>
          <cell r="E241" t="str">
            <v>Pulp &amp; paper</v>
          </cell>
          <cell r="F241">
            <v>0</v>
          </cell>
        </row>
        <row r="242">
          <cell r="D242" t="str">
            <v>Oji Paper Co Ltd</v>
          </cell>
          <cell r="E242" t="str">
            <v>Pulp &amp; paper</v>
          </cell>
          <cell r="F242">
            <v>0</v>
          </cell>
        </row>
        <row r="243">
          <cell r="D243" t="str">
            <v>Oji Holdings</v>
          </cell>
          <cell r="E243" t="str">
            <v>Pulp &amp; paper</v>
          </cell>
          <cell r="F243">
            <v>0.14823528246285067</v>
          </cell>
        </row>
        <row r="244">
          <cell r="D244" t="str">
            <v>Oji Holdings Corp</v>
          </cell>
          <cell r="E244" t="str">
            <v>Pulp &amp; paper</v>
          </cell>
          <cell r="F244">
            <v>0.14823528246285067</v>
          </cell>
        </row>
        <row r="245">
          <cell r="D245" t="str">
            <v>OJI PAPER CO LTD (NEW)</v>
          </cell>
          <cell r="E245" t="str">
            <v>Pulp &amp; paper</v>
          </cell>
          <cell r="F245">
            <v>0</v>
          </cell>
        </row>
        <row r="246">
          <cell r="D246" t="str">
            <v>Oji Group</v>
          </cell>
          <cell r="E246" t="str">
            <v>Pulp &amp; paper</v>
          </cell>
          <cell r="F246">
            <v>0.14823528246285067</v>
          </cell>
        </row>
        <row r="247">
          <cell r="D247" t="str">
            <v>Jiangsu Oji Paper Co Ltd</v>
          </cell>
          <cell r="E247" t="str">
            <v>Pulp &amp; paper</v>
          </cell>
          <cell r="F247">
            <v>0</v>
          </cell>
        </row>
        <row r="248">
          <cell r="D248" t="str">
            <v>Oji Paper Co Ltd</v>
          </cell>
          <cell r="E248" t="str">
            <v>Pulp &amp; paper</v>
          </cell>
          <cell r="F248">
            <v>0</v>
          </cell>
        </row>
        <row r="249">
          <cell r="D249" t="str">
            <v>Oji Holdings</v>
          </cell>
          <cell r="E249" t="str">
            <v>Pulp &amp; paper</v>
          </cell>
          <cell r="F249">
            <v>0.14823528246285067</v>
          </cell>
        </row>
        <row r="250">
          <cell r="D250" t="str">
            <v>Oji Holdings Corp</v>
          </cell>
          <cell r="E250" t="str">
            <v>Pulp &amp; paper</v>
          </cell>
          <cell r="F250">
            <v>0.14823528246285067</v>
          </cell>
        </row>
        <row r="251">
          <cell r="D251" t="str">
            <v>OJI PAPER CO LTD (NEW)</v>
          </cell>
          <cell r="E251" t="str">
            <v>Pulp &amp; paper</v>
          </cell>
          <cell r="F251">
            <v>0</v>
          </cell>
        </row>
        <row r="252">
          <cell r="D252" t="str">
            <v>Oji Group</v>
          </cell>
          <cell r="E252" t="str">
            <v>Pulp &amp; paper</v>
          </cell>
          <cell r="F252">
            <v>6.1668624697874201E-2</v>
          </cell>
        </row>
        <row r="253">
          <cell r="D253" t="str">
            <v>Jiangsu Oji Paper Co Ltd</v>
          </cell>
          <cell r="E253" t="str">
            <v>Pulp &amp; paper</v>
          </cell>
          <cell r="F253">
            <v>0</v>
          </cell>
        </row>
        <row r="254">
          <cell r="D254" t="str">
            <v>Oji Paper Co Ltd</v>
          </cell>
          <cell r="E254" t="str">
            <v>Pulp &amp; paper</v>
          </cell>
          <cell r="F254">
            <v>0</v>
          </cell>
        </row>
        <row r="255">
          <cell r="D255" t="str">
            <v>Oji Holdings</v>
          </cell>
          <cell r="E255" t="str">
            <v>Pulp &amp; paper</v>
          </cell>
          <cell r="F255">
            <v>6.1668465439680617E-2</v>
          </cell>
        </row>
        <row r="256">
          <cell r="D256" t="str">
            <v>Oji Holdings Corp</v>
          </cell>
          <cell r="E256" t="str">
            <v>Pulp &amp; paper</v>
          </cell>
          <cell r="F256">
            <v>6.1668465439680617E-2</v>
          </cell>
        </row>
        <row r="257">
          <cell r="D257" t="str">
            <v>Sumitomo Corp</v>
          </cell>
          <cell r="E257" t="str">
            <v>Timber</v>
          </cell>
          <cell r="F257">
            <v>1.4988340863456712E-3</v>
          </cell>
        </row>
        <row r="258">
          <cell r="D258" t="str">
            <v>SUMITOMO CORP (TOKYO)</v>
          </cell>
          <cell r="E258" t="str">
            <v>Timber</v>
          </cell>
          <cell r="F258">
            <v>1.4988340863456712E-3</v>
          </cell>
        </row>
        <row r="259">
          <cell r="D259" t="str">
            <v>Sumitomo Corp Capital Europe</v>
          </cell>
          <cell r="E259" t="str">
            <v>Timber</v>
          </cell>
          <cell r="F259">
            <v>1.4988340863456712E-3</v>
          </cell>
        </row>
        <row r="260">
          <cell r="D260" t="str">
            <v>Sumitomo Corp of America</v>
          </cell>
          <cell r="E260" t="str">
            <v>Timber</v>
          </cell>
          <cell r="F260">
            <v>1.4988340863456712E-3</v>
          </cell>
        </row>
        <row r="261">
          <cell r="D261" t="str">
            <v>Sumitomo Corporation</v>
          </cell>
          <cell r="E261" t="str">
            <v>Timber</v>
          </cell>
          <cell r="F261">
            <v>1.4988340863456712E-3</v>
          </cell>
        </row>
        <row r="262">
          <cell r="D262" t="str">
            <v>Sumitomo Corp</v>
          </cell>
          <cell r="E262" t="str">
            <v>Timber</v>
          </cell>
          <cell r="F262">
            <v>1.4988340863456712E-3</v>
          </cell>
        </row>
        <row r="263">
          <cell r="D263" t="str">
            <v>SUMITOMO CORP (TOKYO)</v>
          </cell>
          <cell r="E263" t="str">
            <v>Timber</v>
          </cell>
          <cell r="F263">
            <v>1.4988340863456712E-3</v>
          </cell>
        </row>
        <row r="264">
          <cell r="D264" t="str">
            <v>Sumitomo Corp Capital Europe</v>
          </cell>
          <cell r="E264" t="str">
            <v>Timber</v>
          </cell>
          <cell r="F264">
            <v>1.4988340863456712E-3</v>
          </cell>
        </row>
        <row r="265">
          <cell r="D265" t="str">
            <v>Sumitomo Corp of America</v>
          </cell>
          <cell r="E265" t="str">
            <v>Timber</v>
          </cell>
          <cell r="F265">
            <v>1.4988340863456712E-3</v>
          </cell>
        </row>
        <row r="266">
          <cell r="D266" t="str">
            <v>Sumitomo Corporation</v>
          </cell>
          <cell r="E266" t="str">
            <v>Timber</v>
          </cell>
          <cell r="F266">
            <v>1.4988340863456712E-3</v>
          </cell>
        </row>
        <row r="267">
          <cell r="D267" t="str">
            <v>Sumitomo Corp</v>
          </cell>
          <cell r="E267" t="str">
            <v>Timber</v>
          </cell>
          <cell r="F267">
            <v>1.4374249067090935E-3</v>
          </cell>
        </row>
        <row r="268">
          <cell r="D268" t="str">
            <v>SUMITOMO CORP (TOKYO)</v>
          </cell>
          <cell r="E268" t="str">
            <v>Timber</v>
          </cell>
          <cell r="F268">
            <v>1.4374249067090935E-3</v>
          </cell>
        </row>
        <row r="269">
          <cell r="D269" t="str">
            <v>Sumitomo Corp Capital Europe</v>
          </cell>
          <cell r="E269" t="str">
            <v>Timber</v>
          </cell>
          <cell r="F269">
            <v>1.4374249067090935E-3</v>
          </cell>
        </row>
        <row r="270">
          <cell r="D270" t="str">
            <v>Sumitomo Corp of America</v>
          </cell>
          <cell r="E270" t="str">
            <v>Timber</v>
          </cell>
          <cell r="F270">
            <v>1.4374249067090935E-3</v>
          </cell>
        </row>
        <row r="271">
          <cell r="D271" t="str">
            <v>Sumitomo Corporation</v>
          </cell>
          <cell r="E271" t="str">
            <v>Timber</v>
          </cell>
          <cell r="F271">
            <v>1.4374249067090935E-3</v>
          </cell>
        </row>
        <row r="272">
          <cell r="D272" t="str">
            <v>Sumitomo Corp</v>
          </cell>
          <cell r="E272" t="str">
            <v>Timber</v>
          </cell>
          <cell r="F272">
            <v>0</v>
          </cell>
        </row>
        <row r="273">
          <cell r="D273" t="str">
            <v>SUMITOMO CORP (TOKYO)</v>
          </cell>
          <cell r="E273" t="str">
            <v>Timber</v>
          </cell>
          <cell r="F273">
            <v>0</v>
          </cell>
        </row>
        <row r="274">
          <cell r="D274" t="str">
            <v>Sumitomo Corp Capital Europe</v>
          </cell>
          <cell r="E274" t="str">
            <v>Timber</v>
          </cell>
          <cell r="F274">
            <v>0</v>
          </cell>
        </row>
        <row r="275">
          <cell r="D275" t="str">
            <v>Sumitomo Corp of America</v>
          </cell>
          <cell r="E275" t="str">
            <v>Timber</v>
          </cell>
          <cell r="F275">
            <v>0</v>
          </cell>
        </row>
        <row r="276">
          <cell r="D276" t="str">
            <v>Sumitomo Corporation</v>
          </cell>
          <cell r="E276" t="str">
            <v>Timber</v>
          </cell>
          <cell r="F276">
            <v>0</v>
          </cell>
        </row>
        <row r="277">
          <cell r="D277" t="str">
            <v>Sumitomo Corp</v>
          </cell>
          <cell r="E277" t="str">
            <v>Timber</v>
          </cell>
          <cell r="F277">
            <v>0</v>
          </cell>
        </row>
        <row r="278">
          <cell r="D278" t="str">
            <v>SUMITOMO CORP (TOKYO)</v>
          </cell>
          <cell r="E278" t="str">
            <v>Timber</v>
          </cell>
          <cell r="F278">
            <v>0</v>
          </cell>
        </row>
        <row r="279">
          <cell r="D279" t="str">
            <v>Sumitomo Corp Capital Europe</v>
          </cell>
          <cell r="E279" t="str">
            <v>Timber</v>
          </cell>
          <cell r="F279">
            <v>0</v>
          </cell>
        </row>
        <row r="280">
          <cell r="D280" t="str">
            <v>Sumitomo Corp of America</v>
          </cell>
          <cell r="E280" t="str">
            <v>Timber</v>
          </cell>
          <cell r="F280">
            <v>0</v>
          </cell>
        </row>
        <row r="281">
          <cell r="D281" t="str">
            <v>Sumitomo Corporation</v>
          </cell>
          <cell r="E281" t="str">
            <v>Timber</v>
          </cell>
          <cell r="F281">
            <v>0</v>
          </cell>
        </row>
        <row r="282">
          <cell r="D282" t="str">
            <v>Sumitomo Corp</v>
          </cell>
          <cell r="E282" t="str">
            <v>Timber</v>
          </cell>
          <cell r="F282">
            <v>0</v>
          </cell>
        </row>
        <row r="283">
          <cell r="D283" t="str">
            <v>SUMITOMO CORP (TOKYO)</v>
          </cell>
          <cell r="E283" t="str">
            <v>Timber</v>
          </cell>
          <cell r="F283">
            <v>0</v>
          </cell>
        </row>
        <row r="284">
          <cell r="D284" t="str">
            <v>Sumitomo Corp Capital Europe</v>
          </cell>
          <cell r="E284" t="str">
            <v>Timber</v>
          </cell>
          <cell r="F284">
            <v>0</v>
          </cell>
        </row>
        <row r="285">
          <cell r="D285" t="str">
            <v>Sumitomo Corp of America</v>
          </cell>
          <cell r="E285" t="str">
            <v>Timber</v>
          </cell>
          <cell r="F285">
            <v>0</v>
          </cell>
        </row>
        <row r="286">
          <cell r="D286" t="str">
            <v>Sumitomo Corporation</v>
          </cell>
          <cell r="E286" t="str">
            <v>Timber</v>
          </cell>
          <cell r="F286">
            <v>0</v>
          </cell>
        </row>
        <row r="287">
          <cell r="D287" t="str">
            <v>Sumitomo Forestry Co Ltd</v>
          </cell>
          <cell r="E287" t="str">
            <v>Timber</v>
          </cell>
          <cell r="F287">
            <v>1.9284032628793996E-2</v>
          </cell>
        </row>
        <row r="288">
          <cell r="D288" t="str">
            <v>Sumitomo Forestry</v>
          </cell>
          <cell r="E288" t="str">
            <v>Timber</v>
          </cell>
          <cell r="F288">
            <v>1.9284032628793996E-2</v>
          </cell>
        </row>
        <row r="289">
          <cell r="D289" t="str">
            <v xml:space="preserve">Sumitomo Forestry </v>
          </cell>
          <cell r="E289" t="str">
            <v>Timber</v>
          </cell>
          <cell r="F289">
            <v>1.9284032628793996E-2</v>
          </cell>
        </row>
        <row r="290">
          <cell r="D290" t="str">
            <v>Sumitomo Forestry Co Ltd</v>
          </cell>
          <cell r="E290" t="str">
            <v>Timber</v>
          </cell>
          <cell r="F290">
            <v>1.9284032628793996E-2</v>
          </cell>
        </row>
        <row r="291">
          <cell r="D291" t="str">
            <v>Sumitomo Forestry</v>
          </cell>
          <cell r="E291" t="str">
            <v>Timber</v>
          </cell>
          <cell r="F291">
            <v>1.9284032628793996E-2</v>
          </cell>
        </row>
        <row r="292">
          <cell r="D292" t="str">
            <v xml:space="preserve">Sumitomo Forestry </v>
          </cell>
          <cell r="E292" t="str">
            <v>Timber</v>
          </cell>
          <cell r="F292">
            <v>1.9284032628793996E-2</v>
          </cell>
        </row>
        <row r="293">
          <cell r="D293" t="str">
            <v>Sumitomo Forestry Co Ltd</v>
          </cell>
          <cell r="E293" t="str">
            <v>Timber</v>
          </cell>
          <cell r="F293">
            <v>2.1665301027605374E-2</v>
          </cell>
        </row>
        <row r="294">
          <cell r="D294" t="str">
            <v>Sumitomo Forestry</v>
          </cell>
          <cell r="E294" t="str">
            <v>Timber</v>
          </cell>
          <cell r="F294">
            <v>2.1665301027605374E-2</v>
          </cell>
        </row>
        <row r="295">
          <cell r="D295" t="str">
            <v xml:space="preserve">Sumitomo Forestry </v>
          </cell>
          <cell r="E295" t="str">
            <v>Timber</v>
          </cell>
          <cell r="F295">
            <v>2.1665301027605374E-2</v>
          </cell>
        </row>
        <row r="296">
          <cell r="D296" t="str">
            <v>Sumitomo Forestry Co Ltd</v>
          </cell>
          <cell r="E296" t="str">
            <v>Timber</v>
          </cell>
          <cell r="F296">
            <v>2.2315966760411206E-2</v>
          </cell>
        </row>
        <row r="297">
          <cell r="D297" t="str">
            <v>Sumitomo Forestry</v>
          </cell>
          <cell r="E297" t="str">
            <v>Timber</v>
          </cell>
          <cell r="F297">
            <v>2.2315966760411206E-2</v>
          </cell>
        </row>
        <row r="298">
          <cell r="D298" t="str">
            <v xml:space="preserve">Sumitomo Forestry </v>
          </cell>
          <cell r="E298" t="str">
            <v>Timber</v>
          </cell>
          <cell r="F298">
            <v>2.2315966760411206E-2</v>
          </cell>
        </row>
        <row r="299">
          <cell r="D299" t="str">
            <v>Sumitomo Forestry Co Ltd</v>
          </cell>
          <cell r="E299" t="str">
            <v>Timber</v>
          </cell>
          <cell r="F299">
            <v>2.2418510186609782E-2</v>
          </cell>
        </row>
        <row r="300">
          <cell r="D300" t="str">
            <v>Sumitomo Forestry</v>
          </cell>
          <cell r="E300" t="str">
            <v>Timber</v>
          </cell>
          <cell r="F300">
            <v>2.2418510186609782E-2</v>
          </cell>
        </row>
        <row r="301">
          <cell r="D301" t="str">
            <v xml:space="preserve">Sumitomo Forestry </v>
          </cell>
          <cell r="E301" t="str">
            <v>Timber</v>
          </cell>
          <cell r="F301">
            <v>2.2418510186609782E-2</v>
          </cell>
        </row>
        <row r="302">
          <cell r="D302" t="str">
            <v>Sumitomo Forestry Co Ltd</v>
          </cell>
          <cell r="E302" t="str">
            <v>Timber</v>
          </cell>
          <cell r="F302">
            <v>2.3551426539900965E-2</v>
          </cell>
        </row>
        <row r="303">
          <cell r="D303" t="str">
            <v>Sumitomo Forestry</v>
          </cell>
          <cell r="E303" t="str">
            <v>Timber</v>
          </cell>
          <cell r="F303">
            <v>2.3551426539900965E-2</v>
          </cell>
        </row>
        <row r="304">
          <cell r="D304" t="str">
            <v xml:space="preserve">Sumitomo Forestry </v>
          </cell>
          <cell r="E304" t="str">
            <v>Timber</v>
          </cell>
          <cell r="F304">
            <v>2.3551426539900965E-2</v>
          </cell>
        </row>
        <row r="305">
          <cell r="D305" t="str">
            <v>Marubeni</v>
          </cell>
          <cell r="E305" t="str">
            <v>Pulp &amp; paper</v>
          </cell>
          <cell r="F305">
            <v>4.6931664651923492E-2</v>
          </cell>
        </row>
        <row r="306">
          <cell r="D306" t="str">
            <v>Marubeni Corp</v>
          </cell>
          <cell r="E306" t="str">
            <v>Pulp &amp; paper</v>
          </cell>
          <cell r="F306">
            <v>4.6931664651923492E-2</v>
          </cell>
        </row>
        <row r="307">
          <cell r="D307" t="str">
            <v>MARUBENI CORP, TOKYO</v>
          </cell>
          <cell r="E307" t="str">
            <v>Pulp &amp; paper</v>
          </cell>
          <cell r="F307">
            <v>4.6931664651923492E-2</v>
          </cell>
        </row>
        <row r="308">
          <cell r="D308" t="str">
            <v>Marubeni Corporation</v>
          </cell>
          <cell r="E308" t="str">
            <v>Pulp &amp; paper</v>
          </cell>
          <cell r="F308">
            <v>4.6931664651923492E-2</v>
          </cell>
        </row>
        <row r="309">
          <cell r="D309" t="str">
            <v>Marubeni Fin Svcs Corp</v>
          </cell>
          <cell r="E309" t="str">
            <v>Pulp &amp; paper</v>
          </cell>
          <cell r="F309">
            <v>4.6931664651923492E-2</v>
          </cell>
        </row>
        <row r="310">
          <cell r="D310" t="str">
            <v>Marubeni</v>
          </cell>
          <cell r="E310" t="str">
            <v>Pulp &amp; paper</v>
          </cell>
          <cell r="F310">
            <v>4.6931664651923492E-2</v>
          </cell>
        </row>
        <row r="311">
          <cell r="D311" t="str">
            <v>Marubeni Corp</v>
          </cell>
          <cell r="E311" t="str">
            <v>Pulp &amp; paper</v>
          </cell>
          <cell r="F311">
            <v>4.6931664651923492E-2</v>
          </cell>
        </row>
        <row r="312">
          <cell r="D312" t="str">
            <v>MARUBENI CORP, TOKYO</v>
          </cell>
          <cell r="E312" t="str">
            <v>Pulp &amp; paper</v>
          </cell>
          <cell r="F312">
            <v>4.6931664651923492E-2</v>
          </cell>
        </row>
        <row r="313">
          <cell r="D313" t="str">
            <v>Marubeni Corporation</v>
          </cell>
          <cell r="E313" t="str">
            <v>Pulp &amp; paper</v>
          </cell>
          <cell r="F313">
            <v>4.6931664651923492E-2</v>
          </cell>
        </row>
        <row r="314">
          <cell r="D314" t="str">
            <v>Marubeni Fin Svcs Corp</v>
          </cell>
          <cell r="E314" t="str">
            <v>Pulp &amp; paper</v>
          </cell>
          <cell r="F314">
            <v>4.6931664651923492E-2</v>
          </cell>
        </row>
        <row r="315">
          <cell r="D315" t="str">
            <v>Marubeni</v>
          </cell>
          <cell r="E315" t="str">
            <v>Pulp &amp; paper</v>
          </cell>
          <cell r="F315">
            <v>3.2571706368497814E-2</v>
          </cell>
        </row>
        <row r="316">
          <cell r="D316" t="str">
            <v>Marubeni Corp</v>
          </cell>
          <cell r="E316" t="str">
            <v>Pulp &amp; paper</v>
          </cell>
          <cell r="F316">
            <v>3.2571706368497814E-2</v>
          </cell>
        </row>
        <row r="317">
          <cell r="D317" t="str">
            <v>MARUBENI CORP, TOKYO</v>
          </cell>
          <cell r="E317" t="str">
            <v>Pulp &amp; paper</v>
          </cell>
          <cell r="F317">
            <v>3.2571706368497814E-2</v>
          </cell>
        </row>
        <row r="318">
          <cell r="D318" t="str">
            <v>Marubeni Corporation</v>
          </cell>
          <cell r="E318" t="str">
            <v>Pulp &amp; paper</v>
          </cell>
          <cell r="F318">
            <v>3.2571706368497814E-2</v>
          </cell>
        </row>
        <row r="319">
          <cell r="D319" t="str">
            <v>Marubeni Fin Svcs Corp</v>
          </cell>
          <cell r="E319" t="str">
            <v>Pulp &amp; paper</v>
          </cell>
          <cell r="F319">
            <v>3.2571706368497814E-2</v>
          </cell>
        </row>
        <row r="320">
          <cell r="D320" t="str">
            <v>Marubeni</v>
          </cell>
          <cell r="E320" t="str">
            <v>Pulp &amp; paper</v>
          </cell>
          <cell r="F320">
            <v>1.0459035444509006E-2</v>
          </cell>
        </row>
        <row r="321">
          <cell r="D321" t="str">
            <v>Marubeni Corp</v>
          </cell>
          <cell r="E321" t="str">
            <v>Pulp &amp; paper</v>
          </cell>
          <cell r="F321">
            <v>1.0459035444509006E-2</v>
          </cell>
        </row>
        <row r="322">
          <cell r="D322" t="str">
            <v>MARUBENI CORP, TOKYO</v>
          </cell>
          <cell r="E322" t="str">
            <v>Pulp &amp; paper</v>
          </cell>
          <cell r="F322">
            <v>1.0459035444509006E-2</v>
          </cell>
        </row>
        <row r="323">
          <cell r="D323" t="str">
            <v>Marubeni Corporation</v>
          </cell>
          <cell r="E323" t="str">
            <v>Pulp &amp; paper</v>
          </cell>
          <cell r="F323">
            <v>1.0459035444509006E-2</v>
          </cell>
        </row>
        <row r="324">
          <cell r="D324" t="str">
            <v>Marubeni Fin Svcs Corp</v>
          </cell>
          <cell r="E324" t="str">
            <v>Pulp &amp; paper</v>
          </cell>
          <cell r="F324">
            <v>1.0459035444509006E-2</v>
          </cell>
        </row>
        <row r="325">
          <cell r="D325" t="str">
            <v>Marubeni</v>
          </cell>
          <cell r="E325" t="str">
            <v>Pulp &amp; paper</v>
          </cell>
          <cell r="F325">
            <v>9.2340840301646743E-2</v>
          </cell>
        </row>
        <row r="326">
          <cell r="D326" t="str">
            <v>Marubeni Corp</v>
          </cell>
          <cell r="E326" t="str">
            <v>Pulp &amp; paper</v>
          </cell>
          <cell r="F326">
            <v>9.2340840301646743E-2</v>
          </cell>
        </row>
        <row r="327">
          <cell r="D327" t="str">
            <v>MARUBENI CORP, TOKYO</v>
          </cell>
          <cell r="E327" t="str">
            <v>Pulp &amp; paper</v>
          </cell>
          <cell r="F327">
            <v>9.2340840301646743E-2</v>
          </cell>
        </row>
        <row r="328">
          <cell r="D328" t="str">
            <v>Marubeni Corporation</v>
          </cell>
          <cell r="E328" t="str">
            <v>Pulp &amp; paper</v>
          </cell>
          <cell r="F328">
            <v>9.2340840301646743E-2</v>
          </cell>
        </row>
        <row r="329">
          <cell r="D329" t="str">
            <v>Marubeni Fin Svcs Corp</v>
          </cell>
          <cell r="E329" t="str">
            <v>Pulp &amp; paper</v>
          </cell>
          <cell r="F329">
            <v>9.2340840301646743E-2</v>
          </cell>
        </row>
        <row r="330">
          <cell r="D330" t="str">
            <v>Marubeni</v>
          </cell>
          <cell r="E330" t="str">
            <v>Pulp &amp; paper</v>
          </cell>
          <cell r="F330">
            <v>3.9869061608192043E-2</v>
          </cell>
        </row>
        <row r="331">
          <cell r="D331" t="str">
            <v>Marubeni Corp</v>
          </cell>
          <cell r="E331" t="str">
            <v>Pulp &amp; paper</v>
          </cell>
          <cell r="F331">
            <v>3.9869061608192043E-2</v>
          </cell>
        </row>
        <row r="332">
          <cell r="D332" t="str">
            <v>MARUBENI CORP, TOKYO</v>
          </cell>
          <cell r="E332" t="str">
            <v>Pulp &amp; paper</v>
          </cell>
          <cell r="F332">
            <v>3.9869061608192043E-2</v>
          </cell>
        </row>
        <row r="333">
          <cell r="D333" t="str">
            <v>Marubeni Corporation</v>
          </cell>
          <cell r="E333" t="str">
            <v>Pulp &amp; paper</v>
          </cell>
          <cell r="F333">
            <v>3.9869061608192043E-2</v>
          </cell>
        </row>
        <row r="334">
          <cell r="D334" t="str">
            <v>Marubeni Fin Svcs Corp</v>
          </cell>
          <cell r="E334" t="str">
            <v>Pulp &amp; paper</v>
          </cell>
          <cell r="F334">
            <v>3.9869061608192043E-2</v>
          </cell>
        </row>
        <row r="335">
          <cell r="D335" t="str">
            <v>IOI Corp Bhd</v>
          </cell>
          <cell r="E335" t="str">
            <v>Palm oil</v>
          </cell>
          <cell r="F335">
            <v>0.47974534065821217</v>
          </cell>
        </row>
        <row r="336">
          <cell r="D336" t="str">
            <v>IOI Investment (L)Bhd</v>
          </cell>
          <cell r="E336" t="str">
            <v>Palm oil</v>
          </cell>
          <cell r="F336">
            <v>0.47974534065821217</v>
          </cell>
        </row>
        <row r="337">
          <cell r="D337" t="str">
            <v>IOI INVESTMENT BHD</v>
          </cell>
          <cell r="E337" t="str">
            <v>Palm oil</v>
          </cell>
          <cell r="F337">
            <v>0.47974534065821217</v>
          </cell>
        </row>
        <row r="338">
          <cell r="D338" t="str">
            <v>IOI Management Sdn Bhd</v>
          </cell>
          <cell r="E338" t="str">
            <v>Palm oil</v>
          </cell>
          <cell r="F338">
            <v>0.47974534065821217</v>
          </cell>
        </row>
        <row r="339">
          <cell r="D339" t="str">
            <v>IOI Resources (L) Berhad</v>
          </cell>
          <cell r="E339" t="str">
            <v>Palm oil</v>
          </cell>
          <cell r="F339">
            <v>0.47974534065821217</v>
          </cell>
        </row>
        <row r="340">
          <cell r="D340" t="str">
            <v>IOI VENTURES (L) BHD</v>
          </cell>
          <cell r="E340" t="str">
            <v>Palm oil</v>
          </cell>
          <cell r="F340">
            <v>0.47974534065821217</v>
          </cell>
        </row>
        <row r="341">
          <cell r="D341" t="str">
            <v>IOI VENTURES (L)BERHAD</v>
          </cell>
          <cell r="E341" t="str">
            <v>Palm oil</v>
          </cell>
          <cell r="F341">
            <v>0.47974534065821217</v>
          </cell>
        </row>
        <row r="342">
          <cell r="D342" t="str">
            <v>IOI Ventures Berhad</v>
          </cell>
          <cell r="E342" t="str">
            <v>Palm oil</v>
          </cell>
          <cell r="F342">
            <v>0.47974534065821217</v>
          </cell>
        </row>
        <row r="343">
          <cell r="D343" t="str">
            <v>IOI Corporation</v>
          </cell>
          <cell r="E343" t="str">
            <v>Palm oil</v>
          </cell>
          <cell r="F343">
            <v>0.47974534065821217</v>
          </cell>
        </row>
        <row r="344">
          <cell r="D344" t="str">
            <v>IOI Corp Bhd</v>
          </cell>
          <cell r="E344" t="str">
            <v>Palm oil</v>
          </cell>
          <cell r="F344">
            <v>0.47974534065821217</v>
          </cell>
        </row>
        <row r="345">
          <cell r="D345" t="str">
            <v>IOI Investment (L)Bhd</v>
          </cell>
          <cell r="E345" t="str">
            <v>Palm oil</v>
          </cell>
          <cell r="F345">
            <v>0.47974534065821217</v>
          </cell>
        </row>
        <row r="346">
          <cell r="D346" t="str">
            <v>IOI INVESTMENT BHD</v>
          </cell>
          <cell r="E346" t="str">
            <v>Palm oil</v>
          </cell>
          <cell r="F346">
            <v>0.47974534065821217</v>
          </cell>
        </row>
        <row r="347">
          <cell r="D347" t="str">
            <v>IOI Management Sdn Bhd</v>
          </cell>
          <cell r="E347" t="str">
            <v>Palm oil</v>
          </cell>
          <cell r="F347">
            <v>0.47974534065821217</v>
          </cell>
        </row>
        <row r="348">
          <cell r="D348" t="str">
            <v>IOI Resources (L) Berhad</v>
          </cell>
          <cell r="E348" t="str">
            <v>Palm oil</v>
          </cell>
          <cell r="F348">
            <v>0.47974534065821217</v>
          </cell>
        </row>
        <row r="349">
          <cell r="D349" t="str">
            <v>IOI VENTURES (L) BHD</v>
          </cell>
          <cell r="E349" t="str">
            <v>Palm oil</v>
          </cell>
          <cell r="F349">
            <v>0.47974534065821217</v>
          </cell>
        </row>
        <row r="350">
          <cell r="D350" t="str">
            <v>IOI VENTURES (L)BERHAD</v>
          </cell>
          <cell r="E350" t="str">
            <v>Palm oil</v>
          </cell>
          <cell r="F350">
            <v>0.47974534065821217</v>
          </cell>
        </row>
        <row r="351">
          <cell r="D351" t="str">
            <v>IOI Ventures Berhad</v>
          </cell>
          <cell r="E351" t="str">
            <v>Palm oil</v>
          </cell>
          <cell r="F351">
            <v>0.47974534065821217</v>
          </cell>
        </row>
        <row r="352">
          <cell r="D352" t="str">
            <v>IOI Corporation</v>
          </cell>
          <cell r="E352" t="str">
            <v>Palm oil</v>
          </cell>
          <cell r="F352">
            <v>0.47974534065821217</v>
          </cell>
        </row>
        <row r="353">
          <cell r="D353" t="str">
            <v>IOI Corp Bhd</v>
          </cell>
          <cell r="E353" t="str">
            <v>Palm oil</v>
          </cell>
          <cell r="F353">
            <v>0.4060278012203048</v>
          </cell>
        </row>
        <row r="354">
          <cell r="D354" t="str">
            <v>IOI Investment (L)Bhd</v>
          </cell>
          <cell r="E354" t="str">
            <v>Palm oil</v>
          </cell>
          <cell r="F354">
            <v>0.4060278012203048</v>
          </cell>
        </row>
        <row r="355">
          <cell r="D355" t="str">
            <v>IOI INVESTMENT BHD</v>
          </cell>
          <cell r="E355" t="str">
            <v>Palm oil</v>
          </cell>
          <cell r="F355">
            <v>0.4060278012203048</v>
          </cell>
        </row>
        <row r="356">
          <cell r="D356" t="str">
            <v>IOI Management Sdn Bhd</v>
          </cell>
          <cell r="E356" t="str">
            <v>Palm oil</v>
          </cell>
          <cell r="F356">
            <v>0.4060278012203048</v>
          </cell>
        </row>
        <row r="357">
          <cell r="D357" t="str">
            <v>IOI Resources (L) Berhad</v>
          </cell>
          <cell r="E357" t="str">
            <v>Palm oil</v>
          </cell>
          <cell r="F357">
            <v>0.4060278012203048</v>
          </cell>
        </row>
        <row r="358">
          <cell r="D358" t="str">
            <v>IOI VENTURES (L) BHD</v>
          </cell>
          <cell r="E358" t="str">
            <v>Palm oil</v>
          </cell>
          <cell r="F358">
            <v>0.4060278012203048</v>
          </cell>
        </row>
        <row r="359">
          <cell r="D359" t="str">
            <v>IOI VENTURES (L)BERHAD</v>
          </cell>
          <cell r="E359" t="str">
            <v>Palm oil</v>
          </cell>
          <cell r="F359">
            <v>0.4060278012203048</v>
          </cell>
        </row>
        <row r="360">
          <cell r="D360" t="str">
            <v>IOI Ventures Berhad</v>
          </cell>
          <cell r="E360" t="str">
            <v>Palm oil</v>
          </cell>
          <cell r="F360">
            <v>0.4060278012203048</v>
          </cell>
        </row>
        <row r="361">
          <cell r="D361" t="str">
            <v>IOI Corporation</v>
          </cell>
          <cell r="E361" t="str">
            <v>Palm oil</v>
          </cell>
          <cell r="F361">
            <v>0.4060278012203048</v>
          </cell>
        </row>
        <row r="362">
          <cell r="D362" t="str">
            <v>IOI Corp Bhd</v>
          </cell>
          <cell r="E362" t="str">
            <v>Palm oil</v>
          </cell>
          <cell r="F362">
            <v>0.23917287624641898</v>
          </cell>
        </row>
        <row r="363">
          <cell r="D363" t="str">
            <v>IOI Investment (L)Bhd</v>
          </cell>
          <cell r="E363" t="str">
            <v>Palm oil</v>
          </cell>
          <cell r="F363">
            <v>0.23917287624641898</v>
          </cell>
        </row>
        <row r="364">
          <cell r="D364" t="str">
            <v>IOI INVESTMENT BHD</v>
          </cell>
          <cell r="E364" t="str">
            <v>Palm oil</v>
          </cell>
          <cell r="F364">
            <v>0.23917287624641898</v>
          </cell>
        </row>
        <row r="365">
          <cell r="D365" t="str">
            <v>IOI Management Sdn Bhd</v>
          </cell>
          <cell r="E365" t="str">
            <v>Palm oil</v>
          </cell>
          <cell r="F365">
            <v>0.23917287624641898</v>
          </cell>
        </row>
        <row r="366">
          <cell r="D366" t="str">
            <v>IOI Resources (L) Berhad</v>
          </cell>
          <cell r="E366" t="str">
            <v>Palm oil</v>
          </cell>
          <cell r="F366">
            <v>0.23917287624641898</v>
          </cell>
        </row>
        <row r="367">
          <cell r="D367" t="str">
            <v>IOI VENTURES (L) BHD</v>
          </cell>
          <cell r="E367" t="str">
            <v>Palm oil</v>
          </cell>
          <cell r="F367">
            <v>0.23917287624641898</v>
          </cell>
        </row>
        <row r="368">
          <cell r="D368" t="str">
            <v>IOI VENTURES (L)BERHAD</v>
          </cell>
          <cell r="E368" t="str">
            <v>Palm oil</v>
          </cell>
          <cell r="F368">
            <v>0.23917287624641898</v>
          </cell>
        </row>
        <row r="369">
          <cell r="D369" t="str">
            <v>IOI Ventures Berhad</v>
          </cell>
          <cell r="E369" t="str">
            <v>Palm oil</v>
          </cell>
          <cell r="F369">
            <v>0.23917287624641898</v>
          </cell>
        </row>
        <row r="370">
          <cell r="D370" t="str">
            <v>IOI Corporation</v>
          </cell>
          <cell r="E370" t="str">
            <v>Palm oil</v>
          </cell>
          <cell r="F370">
            <v>0.23917287624641898</v>
          </cell>
        </row>
        <row r="371">
          <cell r="D371" t="str">
            <v>IOI Corp Bhd</v>
          </cell>
          <cell r="E371" t="str">
            <v>Palm oil</v>
          </cell>
          <cell r="F371">
            <v>0.25168806093961699</v>
          </cell>
        </row>
        <row r="372">
          <cell r="D372" t="str">
            <v>IOI Investment (L)Bhd</v>
          </cell>
          <cell r="E372" t="str">
            <v>Palm oil</v>
          </cell>
          <cell r="F372">
            <v>0.25168806093961699</v>
          </cell>
        </row>
        <row r="373">
          <cell r="D373" t="str">
            <v>IOI INVESTMENT BHD</v>
          </cell>
          <cell r="E373" t="str">
            <v>Palm oil</v>
          </cell>
          <cell r="F373">
            <v>0.25168806093961699</v>
          </cell>
        </row>
        <row r="374">
          <cell r="D374" t="str">
            <v>IOI Management Sdn Bhd</v>
          </cell>
          <cell r="E374" t="str">
            <v>Palm oil</v>
          </cell>
          <cell r="F374">
            <v>0.25168806093961699</v>
          </cell>
        </row>
        <row r="375">
          <cell r="D375" t="str">
            <v>IOI Resources (L) Berhad</v>
          </cell>
          <cell r="E375" t="str">
            <v>Palm oil</v>
          </cell>
          <cell r="F375">
            <v>0.25168806093961699</v>
          </cell>
        </row>
        <row r="376">
          <cell r="D376" t="str">
            <v>IOI VENTURES (L) BHD</v>
          </cell>
          <cell r="E376" t="str">
            <v>Palm oil</v>
          </cell>
          <cell r="F376">
            <v>0.25168806093961699</v>
          </cell>
        </row>
        <row r="377">
          <cell r="D377" t="str">
            <v>IOI VENTURES (L)BERHAD</v>
          </cell>
          <cell r="E377" t="str">
            <v>Palm oil</v>
          </cell>
          <cell r="F377">
            <v>0.25168806093961699</v>
          </cell>
        </row>
        <row r="378">
          <cell r="D378" t="str">
            <v>IOI Ventures Berhad</v>
          </cell>
          <cell r="E378" t="str">
            <v>Palm oil</v>
          </cell>
          <cell r="F378">
            <v>0.25168806093961699</v>
          </cell>
        </row>
        <row r="379">
          <cell r="D379" t="str">
            <v>IOI Corporation</v>
          </cell>
          <cell r="E379" t="str">
            <v>Palm oil</v>
          </cell>
          <cell r="F379">
            <v>0.25168806093961699</v>
          </cell>
        </row>
        <row r="380">
          <cell r="D380" t="str">
            <v>IOI Corp Bhd</v>
          </cell>
          <cell r="E380" t="str">
            <v>Palm oil</v>
          </cell>
          <cell r="F380">
            <v>0.33776844317602506</v>
          </cell>
        </row>
        <row r="381">
          <cell r="D381" t="str">
            <v>IOI Investment (L)Bhd</v>
          </cell>
          <cell r="E381" t="str">
            <v>Palm oil</v>
          </cell>
          <cell r="F381">
            <v>0.33776844317602506</v>
          </cell>
        </row>
        <row r="382">
          <cell r="D382" t="str">
            <v>IOI INVESTMENT BHD</v>
          </cell>
          <cell r="E382" t="str">
            <v>Palm oil</v>
          </cell>
          <cell r="F382">
            <v>0.33776844317602506</v>
          </cell>
        </row>
        <row r="383">
          <cell r="D383" t="str">
            <v>IOI Management Sdn Bhd</v>
          </cell>
          <cell r="E383" t="str">
            <v>Palm oil</v>
          </cell>
          <cell r="F383">
            <v>0.33776844317602506</v>
          </cell>
        </row>
        <row r="384">
          <cell r="D384" t="str">
            <v>IOI Resources (L) Berhad</v>
          </cell>
          <cell r="E384" t="str">
            <v>Palm oil</v>
          </cell>
          <cell r="F384">
            <v>0.33776844317602506</v>
          </cell>
        </row>
        <row r="385">
          <cell r="D385" t="str">
            <v>IOI VENTURES (L) BHD</v>
          </cell>
          <cell r="E385" t="str">
            <v>Palm oil</v>
          </cell>
          <cell r="F385">
            <v>0.33776844317602506</v>
          </cell>
        </row>
        <row r="386">
          <cell r="D386" t="str">
            <v>IOI VENTURES (L)BERHAD</v>
          </cell>
          <cell r="E386" t="str">
            <v>Palm oil</v>
          </cell>
          <cell r="F386">
            <v>0.33776844317602506</v>
          </cell>
        </row>
        <row r="387">
          <cell r="D387" t="str">
            <v>IOI Ventures Berhad</v>
          </cell>
          <cell r="E387" t="str">
            <v>Palm oil</v>
          </cell>
          <cell r="F387">
            <v>0.33776844317602506</v>
          </cell>
        </row>
        <row r="388">
          <cell r="D388" t="str">
            <v>IOI Corporation</v>
          </cell>
          <cell r="E388" t="str">
            <v>Palm oil</v>
          </cell>
          <cell r="F388">
            <v>0.33776844317602506</v>
          </cell>
        </row>
        <row r="389">
          <cell r="D389" t="str">
            <v>Kencana Agri Ltd</v>
          </cell>
          <cell r="E389" t="str">
            <v>Palm oil</v>
          </cell>
          <cell r="F389">
            <v>0.97857933311563439</v>
          </cell>
        </row>
        <row r="390">
          <cell r="D390" t="str">
            <v>Wilmar Cahaya Indonesia</v>
          </cell>
          <cell r="E390" t="str">
            <v>Other</v>
          </cell>
          <cell r="F390">
            <v>0</v>
          </cell>
        </row>
        <row r="391">
          <cell r="D391" t="str">
            <v>Wealth Anchor Pte Ltd</v>
          </cell>
          <cell r="E391" t="str">
            <v>Other</v>
          </cell>
          <cell r="F391">
            <v>0</v>
          </cell>
        </row>
        <row r="392">
          <cell r="D392" t="str">
            <v>Wii</v>
          </cell>
          <cell r="E392" t="str">
            <v>Palm oil</v>
          </cell>
          <cell r="F392">
            <v>0.11046968713765336</v>
          </cell>
        </row>
        <row r="393">
          <cell r="D393" t="str">
            <v>WII Ltd</v>
          </cell>
          <cell r="E393" t="str">
            <v>Palm oil</v>
          </cell>
          <cell r="F393">
            <v>0.11046968713765336</v>
          </cell>
        </row>
        <row r="394">
          <cell r="D394" t="str">
            <v>Wii Pte Ltd</v>
          </cell>
          <cell r="E394" t="str">
            <v>Palm oil</v>
          </cell>
          <cell r="F394">
            <v>0.11046968713765336</v>
          </cell>
        </row>
        <row r="395">
          <cell r="D395" t="str">
            <v>Wilmar International Ltd</v>
          </cell>
          <cell r="E395" t="str">
            <v>Palm oil</v>
          </cell>
          <cell r="F395">
            <v>0.11046968713765336</v>
          </cell>
        </row>
        <row r="396">
          <cell r="D396" t="str">
            <v>Wilmar International</v>
          </cell>
          <cell r="E396" t="str">
            <v>Palm oil</v>
          </cell>
          <cell r="F396">
            <v>0.11046968713765336</v>
          </cell>
        </row>
        <row r="397">
          <cell r="D397" t="str">
            <v>Kencana Agri</v>
          </cell>
          <cell r="E397" t="str">
            <v>Palm oil</v>
          </cell>
          <cell r="F397">
            <v>0.97857933311563439</v>
          </cell>
        </row>
        <row r="398">
          <cell r="D398" t="str">
            <v>Kencana Agri Ltd</v>
          </cell>
          <cell r="E398" t="str">
            <v>Palm oil</v>
          </cell>
          <cell r="F398">
            <v>0.97857933311563439</v>
          </cell>
        </row>
        <row r="399">
          <cell r="D399" t="str">
            <v>Wilmar Cahaya Indonesia</v>
          </cell>
          <cell r="E399" t="str">
            <v>Other</v>
          </cell>
          <cell r="F399">
            <v>0</v>
          </cell>
        </row>
        <row r="400">
          <cell r="D400" t="str">
            <v>Wealth Anchor Pte Ltd</v>
          </cell>
          <cell r="E400" t="str">
            <v>Other</v>
          </cell>
          <cell r="F400">
            <v>0</v>
          </cell>
        </row>
        <row r="401">
          <cell r="D401" t="str">
            <v>Wii</v>
          </cell>
          <cell r="E401" t="str">
            <v>Palm oil</v>
          </cell>
          <cell r="F401">
            <v>0.11046968713765336</v>
          </cell>
        </row>
        <row r="402">
          <cell r="D402" t="str">
            <v>WII Ltd</v>
          </cell>
          <cell r="E402" t="str">
            <v>Palm oil</v>
          </cell>
          <cell r="F402">
            <v>0.11046968713765336</v>
          </cell>
        </row>
        <row r="403">
          <cell r="D403" t="str">
            <v>Wii Pte Ltd</v>
          </cell>
          <cell r="E403" t="str">
            <v>Palm oil</v>
          </cell>
          <cell r="F403">
            <v>0.11046968713765336</v>
          </cell>
        </row>
        <row r="404">
          <cell r="D404" t="str">
            <v>Wilmar International Ltd</v>
          </cell>
          <cell r="E404" t="str">
            <v>Palm oil</v>
          </cell>
          <cell r="F404">
            <v>0.11046968713765336</v>
          </cell>
        </row>
        <row r="405">
          <cell r="D405" t="str">
            <v>Wilmar International</v>
          </cell>
          <cell r="E405" t="str">
            <v>Palm oil</v>
          </cell>
          <cell r="F405">
            <v>0.11046968713765336</v>
          </cell>
        </row>
        <row r="406">
          <cell r="D406" t="str">
            <v>Kencana Agri</v>
          </cell>
          <cell r="E406" t="str">
            <v>Palm oil</v>
          </cell>
          <cell r="F406">
            <v>0.97857933311563439</v>
          </cell>
        </row>
        <row r="407">
          <cell r="D407" t="str">
            <v>Kencana Agri Ltd</v>
          </cell>
          <cell r="E407" t="str">
            <v>Palm oil</v>
          </cell>
          <cell r="F407">
            <v>0.98291050493661192</v>
          </cell>
        </row>
        <row r="408">
          <cell r="D408" t="str">
            <v>Wilmar Cahaya Indonesia</v>
          </cell>
          <cell r="E408" t="str">
            <v>Other</v>
          </cell>
          <cell r="F408">
            <v>0</v>
          </cell>
        </row>
        <row r="409">
          <cell r="D409" t="str">
            <v>Wealth Anchor Pte Ltd</v>
          </cell>
          <cell r="E409" t="str">
            <v>Palm oil</v>
          </cell>
          <cell r="F409">
            <v>0</v>
          </cell>
        </row>
        <row r="410">
          <cell r="D410" t="str">
            <v>Wii</v>
          </cell>
          <cell r="E410" t="str">
            <v>Palm oil</v>
          </cell>
          <cell r="F410">
            <v>9.9065973760748119E-2</v>
          </cell>
        </row>
        <row r="411">
          <cell r="D411" t="str">
            <v>WII Ltd</v>
          </cell>
          <cell r="E411" t="str">
            <v>Palm oil</v>
          </cell>
          <cell r="F411">
            <v>9.9065973760748119E-2</v>
          </cell>
        </row>
        <row r="412">
          <cell r="D412" t="str">
            <v>Wii Pte Ltd</v>
          </cell>
          <cell r="E412" t="str">
            <v>Palm oil</v>
          </cell>
          <cell r="F412">
            <v>9.9065973760748119E-2</v>
          </cell>
        </row>
        <row r="413">
          <cell r="D413" t="str">
            <v>Wilmar International Ltd</v>
          </cell>
          <cell r="E413" t="str">
            <v>Palm oil</v>
          </cell>
          <cell r="F413">
            <v>9.9065973760748119E-2</v>
          </cell>
        </row>
        <row r="414">
          <cell r="D414" t="str">
            <v>Wilmar International</v>
          </cell>
          <cell r="E414" t="str">
            <v>Palm oil</v>
          </cell>
          <cell r="F414">
            <v>9.9065973760748119E-2</v>
          </cell>
        </row>
        <row r="415">
          <cell r="D415" t="str">
            <v>Kencana Agri</v>
          </cell>
          <cell r="E415" t="str">
            <v>Palm oil</v>
          </cell>
          <cell r="F415">
            <v>0.98291050493661192</v>
          </cell>
        </row>
        <row r="416">
          <cell r="D416" t="str">
            <v>Kencana Agri Ltd</v>
          </cell>
          <cell r="E416" t="str">
            <v>Palm oil</v>
          </cell>
          <cell r="F416">
            <v>1</v>
          </cell>
        </row>
        <row r="417">
          <cell r="D417" t="str">
            <v>Wilmar Cahaya Indonesia</v>
          </cell>
          <cell r="E417" t="str">
            <v>Other</v>
          </cell>
          <cell r="F417">
            <v>0</v>
          </cell>
        </row>
        <row r="418">
          <cell r="D418" t="str">
            <v>Wealth Anchor Pte Ltd</v>
          </cell>
          <cell r="E418" t="str">
            <v>Palm oil</v>
          </cell>
          <cell r="F418">
            <v>0</v>
          </cell>
        </row>
        <row r="419">
          <cell r="D419" t="str">
            <v>Wii</v>
          </cell>
          <cell r="E419" t="str">
            <v>Palm oil</v>
          </cell>
          <cell r="F419">
            <v>0.11016044347847322</v>
          </cell>
        </row>
        <row r="420">
          <cell r="D420" t="str">
            <v>WII Ltd</v>
          </cell>
          <cell r="E420" t="str">
            <v>Palm oil</v>
          </cell>
          <cell r="F420">
            <v>0.11016044347847322</v>
          </cell>
        </row>
        <row r="421">
          <cell r="D421" t="str">
            <v>Wii Pte Ltd</v>
          </cell>
          <cell r="E421" t="str">
            <v>Palm oil</v>
          </cell>
          <cell r="F421">
            <v>0.11016044347847322</v>
          </cell>
        </row>
        <row r="422">
          <cell r="D422" t="str">
            <v>Wilmar International Ltd</v>
          </cell>
          <cell r="E422" t="str">
            <v>Palm oil</v>
          </cell>
          <cell r="F422">
            <v>0.11016044347847322</v>
          </cell>
        </row>
        <row r="423">
          <cell r="D423" t="str">
            <v>Wilmar International</v>
          </cell>
          <cell r="E423" t="str">
            <v>Palm oil</v>
          </cell>
          <cell r="F423">
            <v>0.11016044347847322</v>
          </cell>
        </row>
        <row r="424">
          <cell r="D424" t="str">
            <v>Kencana Agri</v>
          </cell>
          <cell r="E424" t="str">
            <v>Palm oil</v>
          </cell>
          <cell r="F424">
            <v>1</v>
          </cell>
        </row>
        <row r="425">
          <cell r="D425" t="str">
            <v>Kencana Agri Ltd</v>
          </cell>
          <cell r="E425" t="str">
            <v>Palm oil</v>
          </cell>
          <cell r="F425">
            <v>1</v>
          </cell>
        </row>
        <row r="426">
          <cell r="D426" t="str">
            <v>Wilmar Cahaya Indonesia</v>
          </cell>
          <cell r="E426" t="str">
            <v>Other</v>
          </cell>
          <cell r="F426">
            <v>0</v>
          </cell>
        </row>
        <row r="427">
          <cell r="D427" t="str">
            <v>Wealth Anchor Pte Ltd</v>
          </cell>
          <cell r="E427" t="str">
            <v>Palm oil</v>
          </cell>
          <cell r="F427">
            <v>0</v>
          </cell>
        </row>
        <row r="428">
          <cell r="D428" t="str">
            <v>Wii</v>
          </cell>
          <cell r="E428" t="str">
            <v>Palm oil</v>
          </cell>
          <cell r="F428">
            <v>0.11016044347847322</v>
          </cell>
        </row>
        <row r="429">
          <cell r="D429" t="str">
            <v>WII Ltd</v>
          </cell>
          <cell r="E429" t="str">
            <v>Palm oil</v>
          </cell>
          <cell r="F429">
            <v>0.11016044347847322</v>
          </cell>
        </row>
        <row r="430">
          <cell r="D430" t="str">
            <v>Wii Pte Ltd</v>
          </cell>
          <cell r="E430" t="str">
            <v>Palm oil</v>
          </cell>
          <cell r="F430">
            <v>0.11016044347847322</v>
          </cell>
        </row>
        <row r="431">
          <cell r="D431" t="str">
            <v>Wilmar International Ltd</v>
          </cell>
          <cell r="E431" t="str">
            <v>Palm oil</v>
          </cell>
          <cell r="F431">
            <v>0.10958340376550514</v>
          </cell>
        </row>
        <row r="432">
          <cell r="D432" t="str">
            <v>Wilmar International</v>
          </cell>
          <cell r="E432" t="str">
            <v>Palm oil</v>
          </cell>
          <cell r="F432">
            <v>0.10958340376550514</v>
          </cell>
        </row>
        <row r="433">
          <cell r="D433" t="str">
            <v>Kencana Agri</v>
          </cell>
          <cell r="E433" t="str">
            <v>Palm oil</v>
          </cell>
          <cell r="F433">
            <v>1</v>
          </cell>
        </row>
        <row r="434">
          <cell r="D434" t="str">
            <v>Kencana Agri Ltd</v>
          </cell>
          <cell r="E434" t="str">
            <v>Palm oil</v>
          </cell>
          <cell r="F434">
            <v>1</v>
          </cell>
        </row>
        <row r="435">
          <cell r="D435" t="str">
            <v>Wilmar Cahaya Indonesia</v>
          </cell>
          <cell r="E435" t="str">
            <v>Other</v>
          </cell>
          <cell r="F435">
            <v>0</v>
          </cell>
        </row>
        <row r="436">
          <cell r="D436" t="str">
            <v>Wealth Anchor Pte Ltd</v>
          </cell>
          <cell r="E436" t="str">
            <v>Palm oil</v>
          </cell>
          <cell r="F436">
            <v>0</v>
          </cell>
        </row>
        <row r="437">
          <cell r="D437" t="str">
            <v>Wii</v>
          </cell>
          <cell r="E437" t="str">
            <v>Palm oil</v>
          </cell>
          <cell r="F437">
            <v>0.11840340904289941</v>
          </cell>
        </row>
        <row r="438">
          <cell r="D438" t="str">
            <v>WII Ltd</v>
          </cell>
          <cell r="E438" t="str">
            <v>Palm oil</v>
          </cell>
          <cell r="F438">
            <v>0.11840340904289941</v>
          </cell>
        </row>
        <row r="439">
          <cell r="D439" t="str">
            <v>Wii Pte Ltd</v>
          </cell>
          <cell r="E439" t="str">
            <v>Palm oil</v>
          </cell>
          <cell r="F439">
            <v>0.11840340904289941</v>
          </cell>
        </row>
        <row r="440">
          <cell r="D440" t="str">
            <v>Wilmar International Ltd</v>
          </cell>
          <cell r="E440" t="str">
            <v>Palm oil</v>
          </cell>
          <cell r="F440">
            <v>0.11840340904289941</v>
          </cell>
        </row>
        <row r="441">
          <cell r="D441" t="str">
            <v>Wilmar International</v>
          </cell>
          <cell r="E441" t="str">
            <v>Palm oil</v>
          </cell>
          <cell r="F441">
            <v>0.11840340904289941</v>
          </cell>
        </row>
        <row r="442">
          <cell r="D442" t="str">
            <v>Kencana Agri</v>
          </cell>
          <cell r="E442" t="str">
            <v>Palm oil</v>
          </cell>
          <cell r="F442">
            <v>1</v>
          </cell>
        </row>
        <row r="443">
          <cell r="D443" t="str">
            <v>Astra Agro Lestari</v>
          </cell>
          <cell r="E443" t="str">
            <v>Palm oil</v>
          </cell>
          <cell r="F443">
            <v>1</v>
          </cell>
        </row>
        <row r="444">
          <cell r="D444" t="str">
            <v>Jardine Matheson</v>
          </cell>
          <cell r="E444" t="str">
            <v>Palm oil</v>
          </cell>
          <cell r="F444">
            <v>3.7540696377942724E-2</v>
          </cell>
        </row>
        <row r="445">
          <cell r="D445" t="str">
            <v>Astra International Tbk PT</v>
          </cell>
          <cell r="E445" t="str">
            <v>Palm oil</v>
          </cell>
          <cell r="F445">
            <v>0.08</v>
          </cell>
        </row>
        <row r="446">
          <cell r="D446" t="str">
            <v>Jardine Matheson Holdings</v>
          </cell>
          <cell r="E446" t="str">
            <v>Palm oil</v>
          </cell>
          <cell r="F446">
            <v>3.7540696377942724E-2</v>
          </cell>
        </row>
        <row r="447">
          <cell r="D447" t="str">
            <v>Astra Agro Lestari</v>
          </cell>
          <cell r="E447" t="str">
            <v>Palm oil</v>
          </cell>
          <cell r="F447">
            <v>1</v>
          </cell>
        </row>
        <row r="448">
          <cell r="D448" t="str">
            <v>Jardine Matheson</v>
          </cell>
          <cell r="E448" t="str">
            <v>Palm oil</v>
          </cell>
          <cell r="F448">
            <v>3.7540696377942724E-2</v>
          </cell>
        </row>
        <row r="449">
          <cell r="D449" t="str">
            <v>Astra International Tbk PT</v>
          </cell>
          <cell r="E449" t="str">
            <v>Palm oil</v>
          </cell>
          <cell r="F449">
            <v>0.08</v>
          </cell>
        </row>
        <row r="450">
          <cell r="D450" t="str">
            <v>Jardine Matheson Holdings</v>
          </cell>
          <cell r="E450" t="str">
            <v>Palm oil</v>
          </cell>
          <cell r="F450">
            <v>3.7540696377942724E-2</v>
          </cell>
        </row>
        <row r="451">
          <cell r="D451" t="str">
            <v>Astra Agro Lestari</v>
          </cell>
          <cell r="E451" t="str">
            <v>Palm oil</v>
          </cell>
          <cell r="F451">
            <v>1</v>
          </cell>
        </row>
        <row r="452">
          <cell r="D452" t="str">
            <v>Jardine Matheson</v>
          </cell>
          <cell r="E452" t="str">
            <v>Palm oil</v>
          </cell>
          <cell r="F452">
            <v>3.494982078853047E-2</v>
          </cell>
        </row>
        <row r="453">
          <cell r="D453" t="str">
            <v>Astra International Tbk PT</v>
          </cell>
          <cell r="E453" t="str">
            <v>Palm oil</v>
          </cell>
          <cell r="F453">
            <v>7.0000000000000007E-2</v>
          </cell>
        </row>
        <row r="454">
          <cell r="D454" t="str">
            <v>Jardine Matheson Holdings</v>
          </cell>
          <cell r="E454" t="str">
            <v>Palm oil</v>
          </cell>
          <cell r="F454">
            <v>3.494982078853047E-2</v>
          </cell>
        </row>
        <row r="455">
          <cell r="D455" t="str">
            <v>Astra Agro Lestari</v>
          </cell>
          <cell r="E455" t="str">
            <v>Palm oil</v>
          </cell>
          <cell r="F455">
            <v>1</v>
          </cell>
        </row>
        <row r="456">
          <cell r="D456" t="str">
            <v>Jardine Matheson</v>
          </cell>
          <cell r="E456" t="str">
            <v>Palm oil</v>
          </cell>
          <cell r="F456">
            <v>4.0250642861477733E-2</v>
          </cell>
        </row>
        <row r="457">
          <cell r="D457" t="str">
            <v>Astra International Tbk PT</v>
          </cell>
          <cell r="E457" t="str">
            <v>Palm oil</v>
          </cell>
          <cell r="F457">
            <v>7.6443470607423999E-2</v>
          </cell>
        </row>
        <row r="458">
          <cell r="D458" t="str">
            <v>Jardine Matheson Holdings</v>
          </cell>
          <cell r="E458" t="str">
            <v>Palm oil</v>
          </cell>
          <cell r="F458">
            <v>4.0250642861477733E-2</v>
          </cell>
        </row>
        <row r="459">
          <cell r="D459" t="str">
            <v>Astra Agro Lestari</v>
          </cell>
          <cell r="E459" t="str">
            <v>Palm oil</v>
          </cell>
          <cell r="F459">
            <v>1</v>
          </cell>
        </row>
        <row r="460">
          <cell r="D460" t="str">
            <v>Jardine Matheson</v>
          </cell>
          <cell r="E460" t="str">
            <v>Palm oil</v>
          </cell>
          <cell r="F460">
            <v>3.7839491155127553E-2</v>
          </cell>
        </row>
        <row r="461">
          <cell r="D461" t="str">
            <v>Astra International Tbk PT</v>
          </cell>
          <cell r="E461" t="str">
            <v>Palm oil</v>
          </cell>
          <cell r="F461">
            <v>7.4307103013355469E-2</v>
          </cell>
        </row>
        <row r="462">
          <cell r="D462" t="str">
            <v>Jardine Matheson Holdings</v>
          </cell>
          <cell r="E462" t="str">
            <v>Palm oil</v>
          </cell>
          <cell r="F462">
            <v>3.7839491155127553E-2</v>
          </cell>
        </row>
        <row r="463">
          <cell r="D463" t="str">
            <v>Astra Agro Lestari</v>
          </cell>
          <cell r="E463" t="str">
            <v>Palm oil</v>
          </cell>
          <cell r="F463">
            <v>0.98</v>
          </cell>
        </row>
        <row r="464">
          <cell r="D464" t="str">
            <v>Jardine Matheson</v>
          </cell>
          <cell r="E464" t="str">
            <v>Palm oil</v>
          </cell>
          <cell r="F464">
            <v>3.8027147195837552E-2</v>
          </cell>
        </row>
        <row r="465">
          <cell r="D465" t="str">
            <v>Astra International Tbk PT</v>
          </cell>
          <cell r="E465" t="str">
            <v>Palm oil</v>
          </cell>
          <cell r="F465">
            <v>7.7903896080881121E-2</v>
          </cell>
        </row>
        <row r="466">
          <cell r="D466" t="str">
            <v>Jardine Matheson Holdings</v>
          </cell>
          <cell r="E466" t="str">
            <v>Palm oil</v>
          </cell>
          <cell r="F466">
            <v>3.8027147195837552E-2</v>
          </cell>
        </row>
        <row r="467">
          <cell r="D467" t="str">
            <v>Citranusa Intisawit PT</v>
          </cell>
          <cell r="E467" t="str">
            <v>Palm oil</v>
          </cell>
          <cell r="F467">
            <v>1</v>
          </cell>
        </row>
        <row r="468">
          <cell r="D468" t="str">
            <v>Indofood Agri Resources</v>
          </cell>
          <cell r="E468" t="str">
            <v>Palm oil</v>
          </cell>
          <cell r="F468">
            <v>0.88980002005188497</v>
          </cell>
        </row>
        <row r="469">
          <cell r="D469" t="str">
            <v>Kebun Ganda Prima</v>
          </cell>
          <cell r="E469" t="str">
            <v>Palm oil</v>
          </cell>
          <cell r="F469">
            <v>1</v>
          </cell>
        </row>
        <row r="470">
          <cell r="D470" t="str">
            <v>LonSum</v>
          </cell>
          <cell r="E470" t="str">
            <v>Palm oil</v>
          </cell>
          <cell r="F470">
            <v>0.79082675904434863</v>
          </cell>
        </row>
        <row r="471">
          <cell r="D471" t="str">
            <v>PT PP London Sumatra</v>
          </cell>
          <cell r="E471" t="str">
            <v>Palm oil</v>
          </cell>
          <cell r="F471">
            <v>0.79082675904434863</v>
          </cell>
        </row>
        <row r="472">
          <cell r="D472" t="str">
            <v>Salim Ivomas Pratama</v>
          </cell>
          <cell r="E472" t="str">
            <v>Palm oil</v>
          </cell>
          <cell r="F472">
            <v>0.9315583129165097</v>
          </cell>
        </row>
        <row r="473">
          <cell r="D473" t="str">
            <v>Salim Ivomas Pratama Tbk PT</v>
          </cell>
          <cell r="E473" t="str">
            <v>Palm oil</v>
          </cell>
          <cell r="F473">
            <v>0.9315583129165097</v>
          </cell>
        </row>
        <row r="474">
          <cell r="D474" t="str">
            <v>Citranusa Intisawit PT</v>
          </cell>
          <cell r="E474" t="str">
            <v>Palm oil</v>
          </cell>
          <cell r="F474">
            <v>1</v>
          </cell>
        </row>
        <row r="475">
          <cell r="D475" t="str">
            <v>Indofood Agri Resources</v>
          </cell>
          <cell r="E475" t="str">
            <v>Palm oil</v>
          </cell>
          <cell r="F475">
            <v>0.88980002005188497</v>
          </cell>
        </row>
        <row r="476">
          <cell r="D476" t="str">
            <v>Kebun Ganda Prima</v>
          </cell>
          <cell r="E476" t="str">
            <v>Palm oil</v>
          </cell>
          <cell r="F476">
            <v>1</v>
          </cell>
        </row>
        <row r="477">
          <cell r="D477" t="str">
            <v>LonSum</v>
          </cell>
          <cell r="E477" t="str">
            <v>Palm oil</v>
          </cell>
          <cell r="F477">
            <v>0.79082675904434863</v>
          </cell>
        </row>
        <row r="478">
          <cell r="D478" t="str">
            <v>PT PP London Sumatra</v>
          </cell>
          <cell r="E478" t="str">
            <v>Palm oil</v>
          </cell>
          <cell r="F478">
            <v>0.79082675904434863</v>
          </cell>
        </row>
        <row r="479">
          <cell r="D479" t="str">
            <v>Salim Ivomas Pratama</v>
          </cell>
          <cell r="E479" t="str">
            <v>Palm oil</v>
          </cell>
          <cell r="F479">
            <v>0.9315583129165097</v>
          </cell>
        </row>
        <row r="480">
          <cell r="D480" t="str">
            <v>Salim Ivomas Pratama Tbk PT</v>
          </cell>
          <cell r="E480" t="str">
            <v>Palm oil</v>
          </cell>
          <cell r="F480">
            <v>0.9315583129165097</v>
          </cell>
        </row>
        <row r="481">
          <cell r="D481" t="str">
            <v>Citranusa Intisawit PT</v>
          </cell>
          <cell r="E481" t="str">
            <v>Palm oil</v>
          </cell>
          <cell r="F481">
            <v>1</v>
          </cell>
        </row>
        <row r="482">
          <cell r="D482" t="str">
            <v>Indofood Agri Resources</v>
          </cell>
          <cell r="E482" t="str">
            <v>Palm oil</v>
          </cell>
          <cell r="F482">
            <v>0.86146381667083027</v>
          </cell>
        </row>
        <row r="483">
          <cell r="D483" t="str">
            <v>Kebun Ganda Prima</v>
          </cell>
          <cell r="E483" t="str">
            <v>Palm oil</v>
          </cell>
          <cell r="F483">
            <v>1</v>
          </cell>
        </row>
        <row r="484">
          <cell r="D484" t="str">
            <v>LonSum</v>
          </cell>
          <cell r="E484" t="str">
            <v>Palm oil</v>
          </cell>
          <cell r="F484">
            <v>0.79626006663406945</v>
          </cell>
        </row>
        <row r="485">
          <cell r="D485" t="str">
            <v>PT PP London Sumatra</v>
          </cell>
          <cell r="E485" t="str">
            <v>Palm oil</v>
          </cell>
          <cell r="F485">
            <v>0.79626006663406945</v>
          </cell>
        </row>
        <row r="486">
          <cell r="D486" t="str">
            <v>Salim Ivomas Pratama</v>
          </cell>
          <cell r="E486" t="str">
            <v>Palm oil</v>
          </cell>
          <cell r="F486">
            <v>0.92610618826546021</v>
          </cell>
        </row>
        <row r="487">
          <cell r="D487" t="str">
            <v>Salim Ivomas Pratama Tbk PT</v>
          </cell>
          <cell r="E487" t="str">
            <v>Palm oil</v>
          </cell>
          <cell r="F487">
            <v>0.92610618826546021</v>
          </cell>
        </row>
        <row r="488">
          <cell r="D488" t="str">
            <v>Citranusa Intisawit PT</v>
          </cell>
          <cell r="E488" t="str">
            <v>Palm oil</v>
          </cell>
          <cell r="F488">
            <v>1</v>
          </cell>
        </row>
        <row r="489">
          <cell r="D489" t="str">
            <v>Indofood Agri Resources</v>
          </cell>
          <cell r="E489" t="str">
            <v>Palm oil</v>
          </cell>
          <cell r="F489">
            <v>0.89099530520936621</v>
          </cell>
        </row>
        <row r="490">
          <cell r="D490" t="str">
            <v>Kebun Ganda Prima</v>
          </cell>
          <cell r="E490" t="str">
            <v>Palm oil</v>
          </cell>
          <cell r="F490">
            <v>1</v>
          </cell>
        </row>
        <row r="491">
          <cell r="D491" t="str">
            <v>LonSum</v>
          </cell>
          <cell r="E491" t="str">
            <v>Palm oil</v>
          </cell>
          <cell r="F491">
            <v>0.78668484657031834</v>
          </cell>
        </row>
        <row r="492">
          <cell r="D492" t="str">
            <v>PT PP London Sumatra</v>
          </cell>
          <cell r="E492" t="str">
            <v>Palm oil</v>
          </cell>
          <cell r="F492">
            <v>0.78668484657031834</v>
          </cell>
        </row>
        <row r="493">
          <cell r="D493" t="str">
            <v>Salim Ivomas Pratama</v>
          </cell>
          <cell r="E493" t="str">
            <v>Palm oil</v>
          </cell>
          <cell r="F493">
            <v>0.92966677361152528</v>
          </cell>
        </row>
        <row r="494">
          <cell r="D494" t="str">
            <v>Salim Ivomas Pratama Tbk PT</v>
          </cell>
          <cell r="E494" t="str">
            <v>Palm oil</v>
          </cell>
          <cell r="F494">
            <v>0.92966677361152528</v>
          </cell>
        </row>
        <row r="495">
          <cell r="D495" t="str">
            <v>Citranusa Intisawit PT</v>
          </cell>
          <cell r="E495" t="str">
            <v>Palm oil</v>
          </cell>
          <cell r="F495">
            <v>1</v>
          </cell>
        </row>
        <row r="496">
          <cell r="D496" t="str">
            <v>Indofood Agri Resources</v>
          </cell>
          <cell r="E496" t="str">
            <v>Palm oil</v>
          </cell>
          <cell r="F496">
            <v>0.90649896109577055</v>
          </cell>
        </row>
        <row r="497">
          <cell r="D497" t="str">
            <v>Kebun Ganda Prima</v>
          </cell>
          <cell r="E497" t="str">
            <v>Palm oil</v>
          </cell>
          <cell r="F497">
            <v>1</v>
          </cell>
        </row>
        <row r="498">
          <cell r="D498" t="str">
            <v>LonSum</v>
          </cell>
          <cell r="E498" t="str">
            <v>Palm oil</v>
          </cell>
          <cell r="F498">
            <v>0.78359540476556688</v>
          </cell>
        </row>
        <row r="499">
          <cell r="D499" t="str">
            <v>PT PP London Sumatra</v>
          </cell>
          <cell r="E499" t="str">
            <v>Palm oil</v>
          </cell>
          <cell r="F499">
            <v>0.78359540476556688</v>
          </cell>
        </row>
        <row r="500">
          <cell r="D500" t="str">
            <v>Salim Ivomas Pratama</v>
          </cell>
          <cell r="E500" t="str">
            <v>Palm oil</v>
          </cell>
          <cell r="F500">
            <v>0.94339655555294655</v>
          </cell>
        </row>
        <row r="501">
          <cell r="D501" t="str">
            <v>Salim Ivomas Pratama Tbk PT</v>
          </cell>
          <cell r="E501" t="str">
            <v>Palm oil</v>
          </cell>
          <cell r="F501">
            <v>0.94339655555294655</v>
          </cell>
        </row>
        <row r="502">
          <cell r="D502" t="str">
            <v>Citranusa Intisawit PT</v>
          </cell>
          <cell r="E502" t="str">
            <v>Palm oil</v>
          </cell>
          <cell r="F502">
            <v>1</v>
          </cell>
        </row>
        <row r="503">
          <cell r="D503" t="str">
            <v>Indofood Agri Resources</v>
          </cell>
          <cell r="E503" t="str">
            <v>Palm oil</v>
          </cell>
          <cell r="F503">
            <v>0.89706609236274559</v>
          </cell>
        </row>
        <row r="504">
          <cell r="D504" t="str">
            <v>Kebun Ganda Prima</v>
          </cell>
          <cell r="E504" t="str">
            <v>Palm oil</v>
          </cell>
          <cell r="F504">
            <v>1</v>
          </cell>
        </row>
        <row r="505">
          <cell r="D505" t="str">
            <v>LonSum</v>
          </cell>
          <cell r="E505" t="str">
            <v>Palm oil</v>
          </cell>
          <cell r="F505">
            <v>0.78420000000000001</v>
          </cell>
        </row>
        <row r="506">
          <cell r="D506" t="str">
            <v>PT PP London Sumatra</v>
          </cell>
          <cell r="E506" t="str">
            <v>Palm oil</v>
          </cell>
          <cell r="F506">
            <v>0.78420000000000001</v>
          </cell>
        </row>
        <row r="507">
          <cell r="D507" t="str">
            <v>Salim Ivomas Pratama</v>
          </cell>
          <cell r="E507" t="str">
            <v>Palm oil</v>
          </cell>
          <cell r="F507">
            <v>0.95004315186509125</v>
          </cell>
        </row>
        <row r="508">
          <cell r="D508" t="str">
            <v>Salim Ivomas Pratama Tbk PT</v>
          </cell>
          <cell r="E508" t="str">
            <v>Palm oil</v>
          </cell>
          <cell r="F508">
            <v>0.95004315186509125</v>
          </cell>
        </row>
        <row r="509">
          <cell r="D509" t="str">
            <v>Sime Darby</v>
          </cell>
          <cell r="E509" t="str">
            <v>Palm oil</v>
          </cell>
          <cell r="F509">
            <v>0.41</v>
          </cell>
        </row>
        <row r="510">
          <cell r="D510" t="str">
            <v>SIME DARBY BHD</v>
          </cell>
          <cell r="E510" t="str">
            <v>Palm oil</v>
          </cell>
          <cell r="F510">
            <v>0.41</v>
          </cell>
        </row>
        <row r="511">
          <cell r="D511" t="str">
            <v>SIME DARBY BHD (MALAYSIA)</v>
          </cell>
          <cell r="E511" t="str">
            <v>Palm oil</v>
          </cell>
          <cell r="F511">
            <v>0.41</v>
          </cell>
        </row>
        <row r="512">
          <cell r="D512" t="str">
            <v>SIME DARBY BHD NEW</v>
          </cell>
          <cell r="E512" t="str">
            <v>Palm oil</v>
          </cell>
          <cell r="F512">
            <v>0.41</v>
          </cell>
        </row>
        <row r="513">
          <cell r="D513" t="str">
            <v>Sime Darby Plantation Sdn Bhd</v>
          </cell>
          <cell r="E513" t="str">
            <v>Palm oil</v>
          </cell>
          <cell r="F513">
            <v>0.41</v>
          </cell>
        </row>
        <row r="514">
          <cell r="D514" t="str">
            <v>Kumpulan Sime Darby Bhd</v>
          </cell>
          <cell r="E514" t="str">
            <v>Palm oil</v>
          </cell>
          <cell r="F514">
            <v>0.41</v>
          </cell>
        </row>
        <row r="515">
          <cell r="D515" t="str">
            <v>Sime Darby Global Bhd</v>
          </cell>
          <cell r="E515" t="str">
            <v>Palm oil</v>
          </cell>
          <cell r="F515">
            <v>0.41</v>
          </cell>
        </row>
        <row r="516">
          <cell r="D516" t="str">
            <v>Sime Darby Technologies Hldg</v>
          </cell>
          <cell r="E516" t="str">
            <v>Palm oil</v>
          </cell>
          <cell r="F516">
            <v>1</v>
          </cell>
        </row>
        <row r="517">
          <cell r="D517" t="str">
            <v>Golden Agri-Resources</v>
          </cell>
          <cell r="E517" t="str">
            <v>Palm oil</v>
          </cell>
          <cell r="F517">
            <v>1</v>
          </cell>
        </row>
        <row r="518">
          <cell r="D518" t="str">
            <v>Golden Agri-Resources Ltd</v>
          </cell>
          <cell r="E518" t="str">
            <v>Palm oil</v>
          </cell>
          <cell r="F518">
            <v>1</v>
          </cell>
        </row>
        <row r="519">
          <cell r="D519" t="str">
            <v>Golden Assets International Finance</v>
          </cell>
          <cell r="E519" t="str">
            <v>Palm oil</v>
          </cell>
          <cell r="F519">
            <v>1</v>
          </cell>
        </row>
        <row r="520">
          <cell r="D520" t="str">
            <v>Golden Assets International Finance Ltd</v>
          </cell>
          <cell r="E520" t="str">
            <v>Palm oil</v>
          </cell>
          <cell r="F520">
            <v>1</v>
          </cell>
        </row>
        <row r="521">
          <cell r="D521" t="str">
            <v>Maskapai Perkebunan Leidong</v>
          </cell>
          <cell r="E521" t="str">
            <v>Palm oil</v>
          </cell>
          <cell r="F521">
            <v>1</v>
          </cell>
        </row>
        <row r="522">
          <cell r="D522" t="str">
            <v>Satya Kisma Usaha</v>
          </cell>
          <cell r="E522" t="str">
            <v>Palm oil</v>
          </cell>
          <cell r="F522">
            <v>1</v>
          </cell>
        </row>
        <row r="523">
          <cell r="D523" t="str">
            <v>Sinar Mas Agro Resources</v>
          </cell>
          <cell r="E523" t="str">
            <v>Palm oil</v>
          </cell>
          <cell r="F523">
            <v>1</v>
          </cell>
        </row>
        <row r="524">
          <cell r="D524" t="str">
            <v>Tapian Nadenggan</v>
          </cell>
          <cell r="E524" t="str">
            <v>Palm oil</v>
          </cell>
          <cell r="F524">
            <v>1</v>
          </cell>
        </row>
        <row r="525">
          <cell r="D525" t="str">
            <v>Sinar Mas Agro Resources and Technology</v>
          </cell>
          <cell r="E525" t="str">
            <v>Palm oil</v>
          </cell>
          <cell r="F525">
            <v>1</v>
          </cell>
        </row>
        <row r="526">
          <cell r="D526" t="str">
            <v>Sinar Mas Agro Resources and Technology (SMART)</v>
          </cell>
          <cell r="E526" t="str">
            <v>Palm oil</v>
          </cell>
          <cell r="F526">
            <v>1</v>
          </cell>
        </row>
        <row r="527">
          <cell r="D527" t="str">
            <v>APP China Group Ltd</v>
          </cell>
          <cell r="E527" t="str">
            <v>Pulp &amp; paper</v>
          </cell>
          <cell r="F527">
            <v>1</v>
          </cell>
        </row>
        <row r="528">
          <cell r="D528" t="str">
            <v>Gold East Trading Hong Kong</v>
          </cell>
          <cell r="E528" t="str">
            <v>Pulp &amp; paper</v>
          </cell>
          <cell r="F528">
            <v>1</v>
          </cell>
        </row>
        <row r="529">
          <cell r="D529" t="str">
            <v>Golden Century Paper Co Ltd</v>
          </cell>
          <cell r="E529" t="str">
            <v>Pulp &amp; paper</v>
          </cell>
          <cell r="F529">
            <v>1</v>
          </cell>
        </row>
        <row r="530">
          <cell r="D530" t="str">
            <v>Golden Energy Mines Tbk PT</v>
          </cell>
          <cell r="E530" t="str">
            <v>Other</v>
          </cell>
          <cell r="F530">
            <v>0</v>
          </cell>
        </row>
        <row r="531">
          <cell r="D531" t="str">
            <v>Hainan Jinhai Pulp &amp; Paper Co</v>
          </cell>
          <cell r="E531" t="str">
            <v>Pulp &amp; paper</v>
          </cell>
          <cell r="F531">
            <v>1</v>
          </cell>
        </row>
        <row r="532">
          <cell r="D532" t="str">
            <v>Indah Kiat Pulp and Paper</v>
          </cell>
          <cell r="E532" t="str">
            <v>Pulp &amp; paper</v>
          </cell>
          <cell r="F532">
            <v>1</v>
          </cell>
        </row>
        <row r="533">
          <cell r="D533" t="str">
            <v>Ningbo Asia Paper Co Ltd</v>
          </cell>
          <cell r="E533" t="str">
            <v>Pulp &amp; paper</v>
          </cell>
          <cell r="F533">
            <v>1</v>
          </cell>
        </row>
        <row r="534">
          <cell r="D534" t="str">
            <v>Ningbo Asia Pulp &amp; Paper</v>
          </cell>
          <cell r="E534" t="str">
            <v>Pulp &amp; paper</v>
          </cell>
          <cell r="F534">
            <v>1</v>
          </cell>
        </row>
        <row r="535">
          <cell r="D535" t="str">
            <v>Pabrik Kertas Tjiwi Kimia</v>
          </cell>
          <cell r="E535" t="str">
            <v>Pulp &amp; paper</v>
          </cell>
          <cell r="F535">
            <v>1</v>
          </cell>
        </row>
        <row r="536">
          <cell r="D536" t="str">
            <v>Sinar Mas Multiartha Tbk PT</v>
          </cell>
          <cell r="E536" t="str">
            <v>Other</v>
          </cell>
          <cell r="F536">
            <v>0</v>
          </cell>
        </row>
        <row r="537">
          <cell r="D537" t="str">
            <v>SINAR MAS PAPER (CHINA) INVESTMENT CO LTD</v>
          </cell>
          <cell r="E537" t="str">
            <v>Pulp &amp; paper</v>
          </cell>
          <cell r="F537">
            <v>1</v>
          </cell>
        </row>
        <row r="538">
          <cell r="D538" t="str">
            <v>Sinar Mas Paper(China)Invest</v>
          </cell>
          <cell r="E538" t="str">
            <v>Pulp &amp; paper</v>
          </cell>
          <cell r="F538">
            <v>1</v>
          </cell>
        </row>
        <row r="539">
          <cell r="D539" t="str">
            <v>Indah Kiat</v>
          </cell>
          <cell r="E539" t="str">
            <v>Pulp &amp; paper</v>
          </cell>
          <cell r="F539">
            <v>1</v>
          </cell>
        </row>
      </sheetData>
      <sheetData sheetId="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FF4E01-3D81-B842-89D8-FEE2E3107A8D}">
  <sheetPr>
    <tabColor rgb="FFFF0000"/>
  </sheetPr>
  <dimension ref="A1:M2462"/>
  <sheetViews>
    <sheetView tabSelected="1" zoomScale="85" zoomScaleNormal="85" workbookViewId="0">
      <pane xSplit="1" ySplit="1" topLeftCell="B579" activePane="bottomRight" state="frozen"/>
      <selection pane="topRight"/>
      <selection pane="bottomLeft"/>
      <selection pane="bottomRight" activeCell="C1307" sqref="C1307"/>
    </sheetView>
  </sheetViews>
  <sheetFormatPr baseColWidth="10" defaultColWidth="8.83203125" defaultRowHeight="15" x14ac:dyDescent="0.2"/>
  <cols>
    <col min="1" max="1" width="36.6640625" bestFit="1" customWidth="1"/>
    <col min="2" max="2" width="5" bestFit="1" customWidth="1"/>
    <col min="3" max="4" width="63.33203125" bestFit="1" customWidth="1"/>
    <col min="5" max="5" width="22.83203125" style="5" customWidth="1"/>
    <col min="6" max="6" width="14.5" style="5" bestFit="1" customWidth="1"/>
    <col min="7" max="7" width="16.5" style="5" bestFit="1" customWidth="1"/>
    <col min="8" max="8" width="10.33203125" style="5" bestFit="1" customWidth="1"/>
    <col min="9" max="9" width="9.1640625" customWidth="1"/>
    <col min="10" max="10" width="16.5" bestFit="1" customWidth="1"/>
    <col min="13" max="13" width="10.33203125" bestFit="1" customWidth="1"/>
  </cols>
  <sheetData>
    <row r="1" spans="1:13" x14ac:dyDescent="0.2">
      <c r="A1" s="1" t="s">
        <v>0</v>
      </c>
      <c r="B1" s="1" t="s">
        <v>1</v>
      </c>
      <c r="C1" s="1" t="s">
        <v>2</v>
      </c>
      <c r="D1" s="1" t="s">
        <v>3</v>
      </c>
      <c r="E1" s="2" t="s">
        <v>4</v>
      </c>
      <c r="F1" s="2" t="s">
        <v>5</v>
      </c>
      <c r="G1" s="2" t="s">
        <v>6</v>
      </c>
      <c r="H1" s="2" t="s">
        <v>7</v>
      </c>
      <c r="I1" s="3" t="s">
        <v>8</v>
      </c>
      <c r="J1" s="3" t="s">
        <v>9</v>
      </c>
      <c r="K1" s="2" t="s">
        <v>10</v>
      </c>
      <c r="M1" s="4">
        <f>((COUNTIF(K2:K2462,0))-(COUNTIF(H2:H2462,"Remove")))-(COUNTIF(M2:M2462,"Non-active"))</f>
        <v>1</v>
      </c>
    </row>
    <row r="2" spans="1:13" x14ac:dyDescent="0.2">
      <c r="A2" t="s">
        <v>11</v>
      </c>
      <c r="B2">
        <v>2011</v>
      </c>
      <c r="C2" t="s">
        <v>12</v>
      </c>
      <c r="D2" t="s">
        <v>13</v>
      </c>
      <c r="E2" s="5">
        <v>1</v>
      </c>
      <c r="I2" t="s">
        <v>14</v>
      </c>
      <c r="J2" t="s">
        <v>15</v>
      </c>
      <c r="K2" s="6">
        <f t="shared" ref="K2:K65" si="0">SUM(E2:H2)</f>
        <v>1</v>
      </c>
    </row>
    <row r="3" spans="1:13" x14ac:dyDescent="0.2">
      <c r="A3" t="s">
        <v>11</v>
      </c>
      <c r="B3">
        <v>2015</v>
      </c>
      <c r="C3" t="s">
        <v>11</v>
      </c>
      <c r="D3" t="s">
        <v>16</v>
      </c>
      <c r="E3" s="7">
        <f>132940/(132940+6940)</f>
        <v>0.9503860451815842</v>
      </c>
      <c r="F3" s="7"/>
      <c r="G3" s="7">
        <f>6940/(132940+6940)</f>
        <v>4.9613954818415788E-2</v>
      </c>
      <c r="H3" s="7"/>
      <c r="I3" t="s">
        <v>17</v>
      </c>
      <c r="J3" t="s">
        <v>18</v>
      </c>
      <c r="K3" s="6">
        <f t="shared" si="0"/>
        <v>1</v>
      </c>
    </row>
    <row r="4" spans="1:13" x14ac:dyDescent="0.2">
      <c r="A4" t="s">
        <v>11</v>
      </c>
      <c r="B4">
        <v>2016</v>
      </c>
      <c r="C4" t="s">
        <v>11</v>
      </c>
      <c r="D4" t="s">
        <v>16</v>
      </c>
      <c r="E4" s="7">
        <f>132940/(132940+6940)</f>
        <v>0.9503860451815842</v>
      </c>
      <c r="F4" s="7"/>
      <c r="G4" s="7">
        <f>6940/(132940+6940)</f>
        <v>4.9613954818415788E-2</v>
      </c>
      <c r="H4" s="7"/>
      <c r="I4" t="s">
        <v>17</v>
      </c>
      <c r="J4" t="s">
        <v>18</v>
      </c>
      <c r="K4" s="6">
        <f t="shared" si="0"/>
        <v>1</v>
      </c>
    </row>
    <row r="5" spans="1:13" x14ac:dyDescent="0.2">
      <c r="A5" t="s">
        <v>11</v>
      </c>
      <c r="B5">
        <v>2018</v>
      </c>
      <c r="C5" t="s">
        <v>11</v>
      </c>
      <c r="D5" t="s">
        <v>16</v>
      </c>
      <c r="E5" s="7">
        <f>132940/(132940+6940)</f>
        <v>0.9503860451815842</v>
      </c>
      <c r="F5" s="7"/>
      <c r="G5" s="7">
        <f>6940/(132940+6940)</f>
        <v>4.9613954818415788E-2</v>
      </c>
      <c r="H5" s="7"/>
      <c r="I5" t="s">
        <v>17</v>
      </c>
      <c r="J5" t="s">
        <v>18</v>
      </c>
      <c r="K5" s="6">
        <f t="shared" si="0"/>
        <v>1</v>
      </c>
    </row>
    <row r="6" spans="1:13" x14ac:dyDescent="0.2">
      <c r="A6" t="s">
        <v>11</v>
      </c>
      <c r="B6">
        <v>2014</v>
      </c>
      <c r="C6" t="s">
        <v>12</v>
      </c>
      <c r="D6" t="s">
        <v>19</v>
      </c>
      <c r="E6" s="7">
        <f>(4097275/4178164)*(122264/(122264+5252))</f>
        <v>0.9402504503210346</v>
      </c>
      <c r="F6" s="7"/>
      <c r="G6" s="7">
        <f>(4097275/4178164)*(5252/(122264+5252))</f>
        <v>4.0389610720130809E-2</v>
      </c>
      <c r="H6" s="7"/>
      <c r="I6" t="s">
        <v>20</v>
      </c>
      <c r="K6" s="6">
        <f t="shared" si="0"/>
        <v>0.98064006104116541</v>
      </c>
    </row>
    <row r="7" spans="1:13" x14ac:dyDescent="0.2">
      <c r="A7" t="s">
        <v>11</v>
      </c>
      <c r="B7">
        <v>2013</v>
      </c>
      <c r="C7" t="s">
        <v>12</v>
      </c>
      <c r="D7" t="s">
        <v>21</v>
      </c>
      <c r="E7" s="7">
        <f>(4097275/4178164)*(122264/(122264+5252))</f>
        <v>0.9402504503210346</v>
      </c>
      <c r="F7" s="7"/>
      <c r="G7" s="7">
        <f>(4097275/4178164)*(5252/(122264+5252))</f>
        <v>4.0389610720130809E-2</v>
      </c>
      <c r="H7" s="7"/>
      <c r="I7" t="s">
        <v>20</v>
      </c>
      <c r="J7" t="s">
        <v>22</v>
      </c>
      <c r="K7" s="6">
        <f t="shared" si="0"/>
        <v>0.98064006104116541</v>
      </c>
    </row>
    <row r="8" spans="1:13" x14ac:dyDescent="0.2">
      <c r="A8" t="s">
        <v>11</v>
      </c>
      <c r="B8">
        <v>2014</v>
      </c>
      <c r="C8" t="s">
        <v>12</v>
      </c>
      <c r="D8" t="s">
        <v>21</v>
      </c>
      <c r="E8" s="7">
        <f>(4097275/4178164)*(122264/(122264+5252))</f>
        <v>0.9402504503210346</v>
      </c>
      <c r="F8" s="7"/>
      <c r="G8" s="7">
        <f>(4097275/4178164)*(5252/(122264+5252))</f>
        <v>4.0389610720130809E-2</v>
      </c>
      <c r="H8" s="7"/>
      <c r="I8" t="s">
        <v>20</v>
      </c>
      <c r="K8" s="6">
        <f t="shared" si="0"/>
        <v>0.98064006104116541</v>
      </c>
    </row>
    <row r="9" spans="1:13" x14ac:dyDescent="0.2">
      <c r="A9" t="s">
        <v>11</v>
      </c>
      <c r="B9">
        <v>2012</v>
      </c>
      <c r="C9" t="s">
        <v>23</v>
      </c>
      <c r="D9" t="s">
        <v>24</v>
      </c>
      <c r="E9" s="7">
        <f>(4097275/4178164)*(122264/(122264+5252))</f>
        <v>0.9402504503210346</v>
      </c>
      <c r="F9" s="7"/>
      <c r="G9" s="7">
        <f>(4097275/4178164)*(5252/(122264+5252))</f>
        <v>4.0389610720130809E-2</v>
      </c>
      <c r="H9" s="7"/>
      <c r="I9" t="s">
        <v>25</v>
      </c>
      <c r="J9" t="s">
        <v>26</v>
      </c>
      <c r="K9" s="6">
        <f t="shared" si="0"/>
        <v>0.98064006104116541</v>
      </c>
    </row>
    <row r="10" spans="1:13" x14ac:dyDescent="0.2">
      <c r="A10" t="s">
        <v>11</v>
      </c>
      <c r="B10">
        <v>2013</v>
      </c>
      <c r="C10" t="s">
        <v>11</v>
      </c>
      <c r="D10" t="s">
        <v>27</v>
      </c>
      <c r="E10" s="7">
        <f>132940/(132940+6940)</f>
        <v>0.9503860451815842</v>
      </c>
      <c r="F10" s="7"/>
      <c r="G10" s="7">
        <f>6940/(132940+6940)</f>
        <v>4.9613954818415788E-2</v>
      </c>
      <c r="H10" s="7"/>
      <c r="I10" t="s">
        <v>17</v>
      </c>
      <c r="J10" t="s">
        <v>18</v>
      </c>
      <c r="K10" s="6">
        <f t="shared" si="0"/>
        <v>1</v>
      </c>
    </row>
    <row r="11" spans="1:13" x14ac:dyDescent="0.2">
      <c r="A11" t="s">
        <v>11</v>
      </c>
      <c r="B11">
        <v>2014</v>
      </c>
      <c r="C11" t="s">
        <v>11</v>
      </c>
      <c r="D11" t="s">
        <v>27</v>
      </c>
      <c r="E11" s="7">
        <f>132940/(132940+6940)</f>
        <v>0.9503860451815842</v>
      </c>
      <c r="F11" s="7"/>
      <c r="G11" s="7">
        <f>6940/(132940+6940)</f>
        <v>4.9613954818415788E-2</v>
      </c>
      <c r="H11" s="7"/>
      <c r="I11" t="s">
        <v>17</v>
      </c>
      <c r="J11" t="s">
        <v>18</v>
      </c>
      <c r="K11" s="6">
        <f t="shared" si="0"/>
        <v>1</v>
      </c>
    </row>
    <row r="12" spans="1:13" x14ac:dyDescent="0.2">
      <c r="A12" t="s">
        <v>11</v>
      </c>
      <c r="B12">
        <v>2015</v>
      </c>
      <c r="C12" t="s">
        <v>11</v>
      </c>
      <c r="D12" t="s">
        <v>28</v>
      </c>
      <c r="E12" s="7">
        <f>(4097275/4178164)*(122264/(122264+5252))</f>
        <v>0.9402504503210346</v>
      </c>
      <c r="F12" s="7"/>
      <c r="G12" s="7">
        <f>(4097275/4178164)*(5252/(122264+5252))</f>
        <v>4.0389610720130809E-2</v>
      </c>
      <c r="H12" s="7"/>
      <c r="I12" t="s">
        <v>25</v>
      </c>
      <c r="J12" t="s">
        <v>26</v>
      </c>
      <c r="K12" s="6">
        <f t="shared" si="0"/>
        <v>0.98064006104116541</v>
      </c>
    </row>
    <row r="13" spans="1:13" x14ac:dyDescent="0.2">
      <c r="A13" t="s">
        <v>11</v>
      </c>
      <c r="B13">
        <v>2016</v>
      </c>
      <c r="C13" t="s">
        <v>11</v>
      </c>
      <c r="D13" t="s">
        <v>28</v>
      </c>
      <c r="E13" s="7">
        <f>(4097275/4178164)*(122264/(122264+5252))</f>
        <v>0.9402504503210346</v>
      </c>
      <c r="F13" s="7"/>
      <c r="G13" s="7">
        <f>(4097275/4178164)*(5252/(122264+5252))</f>
        <v>4.0389610720130809E-2</v>
      </c>
      <c r="H13" s="7"/>
      <c r="I13" t="s">
        <v>25</v>
      </c>
      <c r="J13" t="s">
        <v>26</v>
      </c>
      <c r="K13" s="6">
        <f t="shared" si="0"/>
        <v>0.98064006104116541</v>
      </c>
    </row>
    <row r="14" spans="1:13" x14ac:dyDescent="0.2">
      <c r="A14" t="s">
        <v>11</v>
      </c>
      <c r="B14">
        <v>2017</v>
      </c>
      <c r="C14" t="s">
        <v>11</v>
      </c>
      <c r="D14" t="s">
        <v>28</v>
      </c>
      <c r="E14" s="7">
        <f>(4097275/4178164)*(122264/(122264+5252))</f>
        <v>0.9402504503210346</v>
      </c>
      <c r="F14" s="7"/>
      <c r="G14" s="7">
        <f>(4097275/4178164)*(5252/(122264+5252))</f>
        <v>4.0389610720130809E-2</v>
      </c>
      <c r="H14" s="7"/>
      <c r="I14" t="s">
        <v>25</v>
      </c>
      <c r="J14" t="s">
        <v>26</v>
      </c>
      <c r="K14" s="6">
        <f t="shared" si="0"/>
        <v>0.98064006104116541</v>
      </c>
    </row>
    <row r="15" spans="1:13" x14ac:dyDescent="0.2">
      <c r="A15" t="s">
        <v>11</v>
      </c>
      <c r="B15">
        <v>2013</v>
      </c>
      <c r="C15" t="s">
        <v>29</v>
      </c>
      <c r="D15" t="s">
        <v>29</v>
      </c>
      <c r="E15" s="5">
        <f>(2917840+569591)/3689034</f>
        <v>0.94535073409461667</v>
      </c>
      <c r="I15" t="s">
        <v>30</v>
      </c>
      <c r="J15" s="8" t="s">
        <v>31</v>
      </c>
      <c r="K15" s="6">
        <f t="shared" si="0"/>
        <v>0.94535073409461667</v>
      </c>
    </row>
    <row r="16" spans="1:13" x14ac:dyDescent="0.2">
      <c r="A16" t="s">
        <v>32</v>
      </c>
      <c r="B16">
        <v>2015</v>
      </c>
      <c r="C16" t="s">
        <v>33</v>
      </c>
      <c r="D16" t="s">
        <v>33</v>
      </c>
      <c r="E16" s="5">
        <f>193364/196451</f>
        <v>0.98428615787142848</v>
      </c>
      <c r="G16" s="5">
        <f>1075/196451</f>
        <v>5.4721024581193276E-3</v>
      </c>
      <c r="I16" t="s">
        <v>34</v>
      </c>
      <c r="J16" t="s">
        <v>35</v>
      </c>
      <c r="K16" s="6">
        <f t="shared" si="0"/>
        <v>0.98975826032954783</v>
      </c>
    </row>
    <row r="17" spans="1:11" x14ac:dyDescent="0.2">
      <c r="A17" t="s">
        <v>32</v>
      </c>
      <c r="B17">
        <v>2016</v>
      </c>
      <c r="C17" t="s">
        <v>33</v>
      </c>
      <c r="D17" t="s">
        <v>33</v>
      </c>
      <c r="E17" s="5">
        <f>85118/86044</f>
        <v>0.98923806424619964</v>
      </c>
      <c r="G17" s="5">
        <f>441/86044</f>
        <v>5.1252847380410024E-3</v>
      </c>
      <c r="I17" t="s">
        <v>34</v>
      </c>
      <c r="J17" t="s">
        <v>36</v>
      </c>
      <c r="K17" s="6">
        <f t="shared" si="0"/>
        <v>0.99436334898424061</v>
      </c>
    </row>
    <row r="18" spans="1:11" x14ac:dyDescent="0.2">
      <c r="A18" t="s">
        <v>32</v>
      </c>
      <c r="B18">
        <v>2017</v>
      </c>
      <c r="C18" t="s">
        <v>33</v>
      </c>
      <c r="D18" t="s">
        <v>33</v>
      </c>
      <c r="E18" s="5">
        <f>286164/291907</f>
        <v>0.98032592572291866</v>
      </c>
      <c r="G18" s="5">
        <f>1305/291907</f>
        <v>4.4706019382885643E-3</v>
      </c>
      <c r="I18" t="s">
        <v>34</v>
      </c>
      <c r="J18" t="s">
        <v>37</v>
      </c>
      <c r="K18" s="6">
        <f t="shared" si="0"/>
        <v>0.98479652766120718</v>
      </c>
    </row>
    <row r="19" spans="1:11" x14ac:dyDescent="0.2">
      <c r="A19" t="s">
        <v>32</v>
      </c>
      <c r="B19">
        <v>2018</v>
      </c>
      <c r="C19" t="s">
        <v>33</v>
      </c>
      <c r="D19" t="s">
        <v>33</v>
      </c>
      <c r="E19" s="7">
        <f>66349/(66349+262)</f>
        <v>0.99606671570761585</v>
      </c>
      <c r="F19" s="7"/>
      <c r="G19" s="7">
        <f>262/(66349+262)</f>
        <v>3.9332842923841408E-3</v>
      </c>
      <c r="H19" s="7"/>
      <c r="I19" t="s">
        <v>38</v>
      </c>
      <c r="J19" t="s">
        <v>39</v>
      </c>
      <c r="K19" s="6">
        <f t="shared" si="0"/>
        <v>1</v>
      </c>
    </row>
    <row r="20" spans="1:11" x14ac:dyDescent="0.2">
      <c r="A20" t="s">
        <v>32</v>
      </c>
      <c r="B20">
        <v>2018</v>
      </c>
      <c r="C20" s="8" t="s">
        <v>32</v>
      </c>
      <c r="D20" t="s">
        <v>33</v>
      </c>
      <c r="E20" s="7">
        <f>66349/(66349+262)</f>
        <v>0.99606671570761585</v>
      </c>
      <c r="F20" s="7"/>
      <c r="G20" s="7">
        <f>262/(66349+262)</f>
        <v>3.9332842923841408E-3</v>
      </c>
      <c r="H20" s="7"/>
      <c r="I20" t="s">
        <v>38</v>
      </c>
      <c r="J20" t="s">
        <v>39</v>
      </c>
      <c r="K20" s="6">
        <f t="shared" si="0"/>
        <v>1</v>
      </c>
    </row>
    <row r="21" spans="1:11" x14ac:dyDescent="0.2">
      <c r="A21" t="s">
        <v>32</v>
      </c>
      <c r="B21">
        <v>2018</v>
      </c>
      <c r="C21" t="s">
        <v>33</v>
      </c>
      <c r="D21" t="s">
        <v>33</v>
      </c>
      <c r="E21" s="7">
        <f>66349/(66349+262)</f>
        <v>0.99606671570761585</v>
      </c>
      <c r="F21" s="7"/>
      <c r="G21" s="7">
        <f>262/(66349+262)</f>
        <v>3.9332842923841408E-3</v>
      </c>
      <c r="H21" s="7"/>
      <c r="I21" t="s">
        <v>38</v>
      </c>
      <c r="J21" t="s">
        <v>39</v>
      </c>
      <c r="K21" s="6">
        <f t="shared" si="0"/>
        <v>1</v>
      </c>
    </row>
    <row r="22" spans="1:11" x14ac:dyDescent="0.2">
      <c r="A22" s="9" t="s">
        <v>32</v>
      </c>
      <c r="B22" s="9">
        <v>2019</v>
      </c>
      <c r="C22" s="9" t="s">
        <v>33</v>
      </c>
      <c r="D22" s="9" t="s">
        <v>33</v>
      </c>
      <c r="E22" s="10">
        <f>66349/(66349+262)</f>
        <v>0.99606671570761585</v>
      </c>
      <c r="F22" s="10"/>
      <c r="G22" s="10">
        <f>262/(66349+262)</f>
        <v>3.9332842923841408E-3</v>
      </c>
      <c r="H22" s="10"/>
      <c r="I22" s="9" t="s">
        <v>38</v>
      </c>
      <c r="J22" s="9" t="s">
        <v>39</v>
      </c>
      <c r="K22" s="6">
        <f t="shared" si="0"/>
        <v>1</v>
      </c>
    </row>
    <row r="23" spans="1:11" x14ac:dyDescent="0.2">
      <c r="A23" t="s">
        <v>40</v>
      </c>
      <c r="B23">
        <v>2012</v>
      </c>
      <c r="C23" t="s">
        <v>41</v>
      </c>
      <c r="D23" t="s">
        <v>42</v>
      </c>
      <c r="E23" s="5">
        <f>(259*(1/7))/641</f>
        <v>5.7722308892355696E-2</v>
      </c>
      <c r="I23" s="5" t="s">
        <v>43</v>
      </c>
      <c r="J23" s="5" t="s">
        <v>44</v>
      </c>
      <c r="K23" s="6">
        <f t="shared" si="0"/>
        <v>5.7722308892355696E-2</v>
      </c>
    </row>
    <row r="24" spans="1:11" x14ac:dyDescent="0.2">
      <c r="A24" t="s">
        <v>40</v>
      </c>
      <c r="B24">
        <v>2015</v>
      </c>
      <c r="C24" t="s">
        <v>45</v>
      </c>
      <c r="D24" t="s">
        <v>45</v>
      </c>
      <c r="E24" s="5">
        <f>(404*(1/7))/1350</f>
        <v>4.2751322751322748E-2</v>
      </c>
      <c r="I24" s="5" t="s">
        <v>46</v>
      </c>
      <c r="J24" s="5" t="s">
        <v>47</v>
      </c>
      <c r="K24" s="6">
        <f t="shared" si="0"/>
        <v>4.2751322751322748E-2</v>
      </c>
    </row>
    <row r="25" spans="1:11" x14ac:dyDescent="0.2">
      <c r="A25" t="s">
        <v>40</v>
      </c>
      <c r="B25">
        <v>2016</v>
      </c>
      <c r="C25" t="s">
        <v>45</v>
      </c>
      <c r="D25" t="s">
        <v>45</v>
      </c>
      <c r="E25" s="5">
        <f>(266*(1/7))/882</f>
        <v>4.3083900226757371E-2</v>
      </c>
      <c r="I25" s="5" t="s">
        <v>46</v>
      </c>
      <c r="J25" s="5" t="s">
        <v>48</v>
      </c>
      <c r="K25" s="6">
        <f t="shared" si="0"/>
        <v>4.3083900226757371E-2</v>
      </c>
    </row>
    <row r="26" spans="1:11" x14ac:dyDescent="0.2">
      <c r="A26" s="8" t="s">
        <v>40</v>
      </c>
      <c r="B26">
        <v>2017</v>
      </c>
      <c r="C26" s="8" t="s">
        <v>40</v>
      </c>
      <c r="D26" t="s">
        <v>45</v>
      </c>
      <c r="E26" s="11">
        <f>(265*(1/7))/1100</f>
        <v>3.4415584415584413E-2</v>
      </c>
      <c r="F26" s="11"/>
      <c r="G26" s="11"/>
      <c r="H26" s="11"/>
      <c r="I26" s="5" t="s">
        <v>46</v>
      </c>
      <c r="J26" s="5" t="s">
        <v>48</v>
      </c>
      <c r="K26" s="6">
        <f t="shared" si="0"/>
        <v>3.4415584415584413E-2</v>
      </c>
    </row>
    <row r="27" spans="1:11" x14ac:dyDescent="0.2">
      <c r="A27" s="8" t="s">
        <v>40</v>
      </c>
      <c r="B27">
        <v>2018</v>
      </c>
      <c r="C27" s="8" t="s">
        <v>40</v>
      </c>
      <c r="D27" t="s">
        <v>45</v>
      </c>
      <c r="E27" s="12">
        <f>(223*(1/7))/845</f>
        <v>3.7700760777683848E-2</v>
      </c>
      <c r="F27" s="12"/>
      <c r="G27" s="12"/>
      <c r="H27" s="12"/>
      <c r="I27" s="7" t="s">
        <v>49</v>
      </c>
      <c r="J27" s="7" t="s">
        <v>50</v>
      </c>
      <c r="K27" s="6">
        <f t="shared" si="0"/>
        <v>3.7700760777683848E-2</v>
      </c>
    </row>
    <row r="28" spans="1:11" x14ac:dyDescent="0.2">
      <c r="A28" t="s">
        <v>40</v>
      </c>
      <c r="B28">
        <v>2018</v>
      </c>
      <c r="C28" s="8" t="s">
        <v>40</v>
      </c>
      <c r="D28" t="s">
        <v>45</v>
      </c>
      <c r="E28" s="12">
        <f>(223*(1/7))/845</f>
        <v>3.7700760777683848E-2</v>
      </c>
      <c r="F28" s="12"/>
      <c r="G28" s="12"/>
      <c r="H28" s="12"/>
      <c r="I28" s="7" t="s">
        <v>49</v>
      </c>
      <c r="J28" s="7" t="s">
        <v>50</v>
      </c>
      <c r="K28" s="6">
        <f t="shared" si="0"/>
        <v>3.7700760777683848E-2</v>
      </c>
    </row>
    <row r="29" spans="1:11" x14ac:dyDescent="0.2">
      <c r="A29" t="s">
        <v>40</v>
      </c>
      <c r="B29">
        <v>2018</v>
      </c>
      <c r="C29" t="s">
        <v>51</v>
      </c>
      <c r="D29" t="s">
        <v>51</v>
      </c>
      <c r="E29" s="12">
        <f>(223*(1/7))/845</f>
        <v>3.7700760777683848E-2</v>
      </c>
      <c r="F29" s="12"/>
      <c r="G29" s="12"/>
      <c r="H29" s="12"/>
      <c r="I29" s="7" t="s">
        <v>49</v>
      </c>
      <c r="J29" s="7" t="s">
        <v>50</v>
      </c>
      <c r="K29" s="6">
        <f t="shared" si="0"/>
        <v>3.7700760777683848E-2</v>
      </c>
    </row>
    <row r="30" spans="1:11" x14ac:dyDescent="0.2">
      <c r="A30" s="9" t="s">
        <v>40</v>
      </c>
      <c r="B30" s="9">
        <v>2019</v>
      </c>
      <c r="C30" s="9" t="s">
        <v>45</v>
      </c>
      <c r="D30" s="9" t="s">
        <v>45</v>
      </c>
      <c r="E30" s="13">
        <f>(223*(1/7))/845</f>
        <v>3.7700760777683848E-2</v>
      </c>
      <c r="F30" s="13"/>
      <c r="G30" s="13"/>
      <c r="H30" s="13"/>
      <c r="I30" s="10" t="s">
        <v>49</v>
      </c>
      <c r="J30" s="10" t="s">
        <v>50</v>
      </c>
      <c r="K30" s="6">
        <f t="shared" si="0"/>
        <v>3.7700760777683848E-2</v>
      </c>
    </row>
    <row r="31" spans="1:11" x14ac:dyDescent="0.2">
      <c r="A31" t="s">
        <v>40</v>
      </c>
      <c r="B31">
        <v>2011</v>
      </c>
      <c r="C31" t="s">
        <v>41</v>
      </c>
      <c r="D31" t="s">
        <v>52</v>
      </c>
      <c r="E31" s="5">
        <f>(673*(1/7))/1512</f>
        <v>6.3586545729402866E-2</v>
      </c>
      <c r="I31" s="5" t="s">
        <v>43</v>
      </c>
      <c r="J31" s="5" t="s">
        <v>53</v>
      </c>
      <c r="K31" s="6">
        <f t="shared" si="0"/>
        <v>6.3586545729402866E-2</v>
      </c>
    </row>
    <row r="32" spans="1:11" x14ac:dyDescent="0.2">
      <c r="A32" t="s">
        <v>40</v>
      </c>
      <c r="B32">
        <v>2013</v>
      </c>
      <c r="C32" t="s">
        <v>41</v>
      </c>
      <c r="D32" t="s">
        <v>52</v>
      </c>
      <c r="E32" s="5">
        <f>(302*(1/7))/947</f>
        <v>4.5557399306079341E-2</v>
      </c>
      <c r="I32" s="5" t="s">
        <v>43</v>
      </c>
      <c r="J32" s="5" t="s">
        <v>54</v>
      </c>
      <c r="K32" s="6">
        <f t="shared" si="0"/>
        <v>4.5557399306079341E-2</v>
      </c>
    </row>
    <row r="33" spans="1:11" x14ac:dyDescent="0.2">
      <c r="A33" t="s">
        <v>40</v>
      </c>
      <c r="B33">
        <v>2015</v>
      </c>
      <c r="C33" t="s">
        <v>41</v>
      </c>
      <c r="D33" t="s">
        <v>52</v>
      </c>
      <c r="E33" s="5">
        <f>(404*(1/7))/1350</f>
        <v>4.2751322751322748E-2</v>
      </c>
      <c r="I33" s="5" t="s">
        <v>46</v>
      </c>
      <c r="J33" s="5" t="s">
        <v>47</v>
      </c>
      <c r="K33" s="6">
        <f t="shared" si="0"/>
        <v>4.2751322751322748E-2</v>
      </c>
    </row>
    <row r="34" spans="1:11" x14ac:dyDescent="0.2">
      <c r="A34" t="s">
        <v>40</v>
      </c>
      <c r="B34">
        <v>2016</v>
      </c>
      <c r="C34" t="s">
        <v>41</v>
      </c>
      <c r="D34" t="s">
        <v>52</v>
      </c>
      <c r="E34" s="5">
        <f>(266*(1/7))/882</f>
        <v>4.3083900226757371E-2</v>
      </c>
      <c r="I34" s="5" t="s">
        <v>46</v>
      </c>
      <c r="J34" s="5" t="s">
        <v>48</v>
      </c>
      <c r="K34" s="6">
        <f t="shared" si="0"/>
        <v>4.3083900226757371E-2</v>
      </c>
    </row>
    <row r="35" spans="1:11" x14ac:dyDescent="0.2">
      <c r="A35" s="8" t="s">
        <v>40</v>
      </c>
      <c r="B35">
        <v>2017</v>
      </c>
      <c r="C35" s="8" t="s">
        <v>40</v>
      </c>
      <c r="D35" t="s">
        <v>52</v>
      </c>
      <c r="E35" s="11">
        <f>(265*(1/7))/1100</f>
        <v>3.4415584415584413E-2</v>
      </c>
      <c r="F35" s="11"/>
      <c r="G35" s="11"/>
      <c r="H35" s="11"/>
      <c r="I35" s="5" t="s">
        <v>46</v>
      </c>
      <c r="J35" s="5" t="s">
        <v>48</v>
      </c>
      <c r="K35" s="6">
        <f t="shared" si="0"/>
        <v>3.4415584415584413E-2</v>
      </c>
    </row>
    <row r="36" spans="1:11" x14ac:dyDescent="0.2">
      <c r="A36" t="s">
        <v>40</v>
      </c>
      <c r="B36">
        <v>2011</v>
      </c>
      <c r="C36" t="s">
        <v>41</v>
      </c>
      <c r="D36" t="s">
        <v>55</v>
      </c>
      <c r="E36" s="5">
        <f>(673*(1/7))/1512</f>
        <v>6.3586545729402866E-2</v>
      </c>
      <c r="I36" s="5" t="s">
        <v>43</v>
      </c>
      <c r="J36" s="5" t="s">
        <v>53</v>
      </c>
      <c r="K36" s="6">
        <f t="shared" si="0"/>
        <v>6.3586545729402866E-2</v>
      </c>
    </row>
    <row r="37" spans="1:11" x14ac:dyDescent="0.2">
      <c r="A37" t="s">
        <v>40</v>
      </c>
      <c r="B37">
        <v>2012</v>
      </c>
      <c r="C37" t="s">
        <v>41</v>
      </c>
      <c r="D37" t="s">
        <v>55</v>
      </c>
      <c r="E37" s="5">
        <f>(259*(1/7))/641</f>
        <v>5.7722308892355696E-2</v>
      </c>
      <c r="I37" s="5" t="s">
        <v>43</v>
      </c>
      <c r="J37" s="5" t="s">
        <v>44</v>
      </c>
      <c r="K37" s="6">
        <f t="shared" si="0"/>
        <v>5.7722308892355696E-2</v>
      </c>
    </row>
    <row r="38" spans="1:11" x14ac:dyDescent="0.2">
      <c r="A38" t="s">
        <v>40</v>
      </c>
      <c r="B38">
        <v>2013</v>
      </c>
      <c r="C38" t="s">
        <v>41</v>
      </c>
      <c r="D38" t="s">
        <v>55</v>
      </c>
      <c r="E38" s="5">
        <f>(302*(1/7))/947</f>
        <v>4.5557399306079341E-2</v>
      </c>
      <c r="I38" s="5" t="s">
        <v>43</v>
      </c>
      <c r="J38" s="5" t="s">
        <v>54</v>
      </c>
      <c r="K38" s="6">
        <f t="shared" si="0"/>
        <v>4.5557399306079341E-2</v>
      </c>
    </row>
    <row r="39" spans="1:11" x14ac:dyDescent="0.2">
      <c r="A39" t="s">
        <v>40</v>
      </c>
      <c r="B39">
        <v>2014</v>
      </c>
      <c r="C39" t="s">
        <v>41</v>
      </c>
      <c r="D39" t="s">
        <v>55</v>
      </c>
      <c r="E39" s="5">
        <f>(268*(1/7))/1357</f>
        <v>2.8213496157490262E-2</v>
      </c>
      <c r="I39" s="5" t="s">
        <v>46</v>
      </c>
      <c r="J39" s="5" t="s">
        <v>47</v>
      </c>
      <c r="K39" s="6">
        <f t="shared" si="0"/>
        <v>2.8213496157490262E-2</v>
      </c>
    </row>
    <row r="40" spans="1:11" x14ac:dyDescent="0.2">
      <c r="A40" t="s">
        <v>40</v>
      </c>
      <c r="B40">
        <v>2015</v>
      </c>
      <c r="C40" t="s">
        <v>41</v>
      </c>
      <c r="D40" t="s">
        <v>55</v>
      </c>
      <c r="E40" s="5">
        <f>(404*(1/7))/1350</f>
        <v>4.2751322751322748E-2</v>
      </c>
      <c r="I40" s="5" t="s">
        <v>46</v>
      </c>
      <c r="J40" s="5" t="s">
        <v>47</v>
      </c>
      <c r="K40" s="6">
        <f t="shared" si="0"/>
        <v>4.2751322751322748E-2</v>
      </c>
    </row>
    <row r="41" spans="1:11" x14ac:dyDescent="0.2">
      <c r="A41" t="s">
        <v>40</v>
      </c>
      <c r="B41">
        <v>2016</v>
      </c>
      <c r="C41" t="s">
        <v>41</v>
      </c>
      <c r="D41" t="s">
        <v>55</v>
      </c>
      <c r="E41" s="5">
        <f>(266*(1/7))/882</f>
        <v>4.3083900226757371E-2</v>
      </c>
      <c r="I41" s="5" t="s">
        <v>46</v>
      </c>
      <c r="J41" s="5" t="s">
        <v>48</v>
      </c>
      <c r="K41" s="6">
        <f t="shared" si="0"/>
        <v>4.3083900226757371E-2</v>
      </c>
    </row>
    <row r="42" spans="1:11" x14ac:dyDescent="0.2">
      <c r="A42" s="8" t="s">
        <v>40</v>
      </c>
      <c r="B42">
        <v>2017</v>
      </c>
      <c r="C42" s="8" t="s">
        <v>40</v>
      </c>
      <c r="D42" t="s">
        <v>55</v>
      </c>
      <c r="E42" s="11">
        <f>(265*(1/7))/1100</f>
        <v>3.4415584415584413E-2</v>
      </c>
      <c r="F42" s="11"/>
      <c r="G42" s="11"/>
      <c r="H42" s="11"/>
      <c r="I42" s="5" t="s">
        <v>46</v>
      </c>
      <c r="J42" s="5" t="s">
        <v>48</v>
      </c>
      <c r="K42" s="6">
        <f t="shared" si="0"/>
        <v>3.4415584415584413E-2</v>
      </c>
    </row>
    <row r="43" spans="1:11" x14ac:dyDescent="0.2">
      <c r="A43" s="8" t="s">
        <v>40</v>
      </c>
      <c r="B43">
        <v>2018</v>
      </c>
      <c r="C43" s="8" t="s">
        <v>40</v>
      </c>
      <c r="D43" t="s">
        <v>55</v>
      </c>
      <c r="E43" s="12">
        <f>(223*(1/7))/845</f>
        <v>3.7700760777683848E-2</v>
      </c>
      <c r="F43" s="12"/>
      <c r="G43" s="12"/>
      <c r="H43" s="12"/>
      <c r="I43" s="7" t="s">
        <v>49</v>
      </c>
      <c r="J43" s="7" t="s">
        <v>50</v>
      </c>
      <c r="K43" s="6">
        <f t="shared" si="0"/>
        <v>3.7700760777683848E-2</v>
      </c>
    </row>
    <row r="44" spans="1:11" x14ac:dyDescent="0.2">
      <c r="A44" t="s">
        <v>40</v>
      </c>
      <c r="B44">
        <v>2018</v>
      </c>
      <c r="C44" t="s">
        <v>55</v>
      </c>
      <c r="D44" t="s">
        <v>55</v>
      </c>
      <c r="E44" s="12">
        <f>(223*(1/7))/845</f>
        <v>3.7700760777683848E-2</v>
      </c>
      <c r="F44" s="12"/>
      <c r="G44" s="12"/>
      <c r="H44" s="12"/>
      <c r="I44" s="7" t="s">
        <v>49</v>
      </c>
      <c r="J44" s="7" t="s">
        <v>50</v>
      </c>
      <c r="K44" s="6">
        <f t="shared" si="0"/>
        <v>3.7700760777683848E-2</v>
      </c>
    </row>
    <row r="45" spans="1:11" x14ac:dyDescent="0.2">
      <c r="A45" s="9" t="s">
        <v>40</v>
      </c>
      <c r="B45" s="9">
        <v>2019</v>
      </c>
      <c r="C45" s="9" t="s">
        <v>55</v>
      </c>
      <c r="D45" s="9" t="s">
        <v>55</v>
      </c>
      <c r="E45" s="13">
        <f>(223*(1/7))/845</f>
        <v>3.7700760777683848E-2</v>
      </c>
      <c r="F45" s="13"/>
      <c r="G45" s="13"/>
      <c r="H45" s="13"/>
      <c r="I45" s="10" t="s">
        <v>49</v>
      </c>
      <c r="J45" s="10" t="s">
        <v>50</v>
      </c>
      <c r="K45" s="6">
        <f t="shared" si="0"/>
        <v>3.7700760777683848E-2</v>
      </c>
    </row>
    <row r="46" spans="1:11" x14ac:dyDescent="0.2">
      <c r="A46" t="s">
        <v>56</v>
      </c>
      <c r="B46">
        <v>2011</v>
      </c>
      <c r="C46" t="s">
        <v>57</v>
      </c>
      <c r="D46" t="s">
        <v>58</v>
      </c>
      <c r="E46" s="5">
        <f>303334517/371718886</f>
        <v>0.81603202964511201</v>
      </c>
      <c r="I46" t="s">
        <v>59</v>
      </c>
      <c r="J46" t="s">
        <v>60</v>
      </c>
      <c r="K46" s="6">
        <f t="shared" si="0"/>
        <v>0.81603202964511201</v>
      </c>
    </row>
    <row r="47" spans="1:11" x14ac:dyDescent="0.2">
      <c r="A47" t="s">
        <v>56</v>
      </c>
      <c r="B47">
        <v>2013</v>
      </c>
      <c r="C47" t="s">
        <v>57</v>
      </c>
      <c r="D47" t="s">
        <v>61</v>
      </c>
      <c r="E47" s="5">
        <f>296067875/345043230</f>
        <v>0.85806023494505312</v>
      </c>
      <c r="I47" t="s">
        <v>62</v>
      </c>
      <c r="J47" t="s">
        <v>60</v>
      </c>
      <c r="K47" s="6">
        <f t="shared" si="0"/>
        <v>0.85806023494505312</v>
      </c>
    </row>
    <row r="48" spans="1:11" x14ac:dyDescent="0.2">
      <c r="A48" s="8" t="s">
        <v>56</v>
      </c>
      <c r="B48">
        <v>2018</v>
      </c>
      <c r="C48" s="8" t="s">
        <v>56</v>
      </c>
      <c r="D48" t="s">
        <v>61</v>
      </c>
      <c r="E48" s="12">
        <f>68206295/76639010</f>
        <v>0.88996837250376803</v>
      </c>
      <c r="F48" s="7"/>
      <c r="G48" s="7"/>
      <c r="H48" s="7"/>
      <c r="I48" t="s">
        <v>63</v>
      </c>
      <c r="J48" t="s">
        <v>64</v>
      </c>
      <c r="K48" s="6">
        <f t="shared" si="0"/>
        <v>0.88996837250376803</v>
      </c>
    </row>
    <row r="49" spans="1:13" x14ac:dyDescent="0.2">
      <c r="A49" t="s">
        <v>56</v>
      </c>
      <c r="B49">
        <v>2018</v>
      </c>
      <c r="C49" s="8" t="s">
        <v>56</v>
      </c>
      <c r="D49" t="s">
        <v>61</v>
      </c>
      <c r="E49" s="12">
        <f>68206295/76639010</f>
        <v>0.88996837250376803</v>
      </c>
      <c r="F49" s="7"/>
      <c r="G49" s="7"/>
      <c r="H49" s="7"/>
      <c r="I49" t="s">
        <v>63</v>
      </c>
      <c r="J49" t="s">
        <v>64</v>
      </c>
      <c r="K49" s="6">
        <f t="shared" si="0"/>
        <v>0.88996837250376803</v>
      </c>
    </row>
    <row r="50" spans="1:13" x14ac:dyDescent="0.2">
      <c r="A50" s="8" t="s">
        <v>56</v>
      </c>
      <c r="B50">
        <v>2013</v>
      </c>
      <c r="C50" s="8" t="s">
        <v>56</v>
      </c>
      <c r="D50" t="s">
        <v>57</v>
      </c>
      <c r="E50" s="5">
        <f>296067875/345043230</f>
        <v>0.85806023494505312</v>
      </c>
      <c r="I50" t="s">
        <v>62</v>
      </c>
      <c r="J50" t="s">
        <v>60</v>
      </c>
      <c r="K50" s="6">
        <f t="shared" si="0"/>
        <v>0.85806023494505312</v>
      </c>
    </row>
    <row r="51" spans="1:13" x14ac:dyDescent="0.2">
      <c r="A51" t="s">
        <v>56</v>
      </c>
      <c r="B51">
        <v>2015</v>
      </c>
      <c r="C51" t="s">
        <v>57</v>
      </c>
      <c r="D51" t="s">
        <v>57</v>
      </c>
      <c r="E51" s="5">
        <f>384911904/434623133</f>
        <v>0.88562222020520021</v>
      </c>
      <c r="I51" t="s">
        <v>62</v>
      </c>
      <c r="J51" t="s">
        <v>65</v>
      </c>
      <c r="K51" s="6">
        <f t="shared" si="0"/>
        <v>0.88562222020520021</v>
      </c>
    </row>
    <row r="52" spans="1:13" x14ac:dyDescent="0.2">
      <c r="A52" t="s">
        <v>56</v>
      </c>
      <c r="B52">
        <v>2016</v>
      </c>
      <c r="C52" t="s">
        <v>57</v>
      </c>
      <c r="D52" t="s">
        <v>57</v>
      </c>
      <c r="E52" s="5">
        <f>432840693/485757419</f>
        <v>0.89106347339184955</v>
      </c>
      <c r="I52" t="s">
        <v>62</v>
      </c>
      <c r="J52" t="s">
        <v>65</v>
      </c>
      <c r="K52" s="6">
        <f t="shared" si="0"/>
        <v>0.89106347339184955</v>
      </c>
    </row>
    <row r="53" spans="1:13" x14ac:dyDescent="0.2">
      <c r="A53" t="s">
        <v>56</v>
      </c>
      <c r="B53">
        <v>2018</v>
      </c>
      <c r="C53" t="s">
        <v>56</v>
      </c>
      <c r="D53" t="s">
        <v>57</v>
      </c>
      <c r="E53" s="12">
        <f>68206295/76639010</f>
        <v>0.88996837250376803</v>
      </c>
      <c r="F53" s="7"/>
      <c r="G53" s="7"/>
      <c r="H53" s="7"/>
      <c r="I53" t="s">
        <v>63</v>
      </c>
      <c r="J53" t="s">
        <v>64</v>
      </c>
      <c r="K53" s="6">
        <f t="shared" si="0"/>
        <v>0.88996837250376803</v>
      </c>
    </row>
    <row r="54" spans="1:13" x14ac:dyDescent="0.2">
      <c r="A54" s="9" t="s">
        <v>56</v>
      </c>
      <c r="B54" s="9">
        <v>2019</v>
      </c>
      <c r="C54" s="9" t="s">
        <v>57</v>
      </c>
      <c r="D54" s="9" t="s">
        <v>57</v>
      </c>
      <c r="E54" s="13">
        <f>68206295/76639010</f>
        <v>0.88996837250376803</v>
      </c>
      <c r="F54" s="10"/>
      <c r="G54" s="10"/>
      <c r="H54" s="10"/>
      <c r="I54" s="9" t="s">
        <v>63</v>
      </c>
      <c r="J54" s="9" t="s">
        <v>64</v>
      </c>
      <c r="K54" s="6">
        <f t="shared" si="0"/>
        <v>0.88996837250376803</v>
      </c>
    </row>
    <row r="55" spans="1:13" x14ac:dyDescent="0.2">
      <c r="A55" s="8" t="s">
        <v>56</v>
      </c>
      <c r="B55">
        <v>2010</v>
      </c>
      <c r="C55" s="8" t="s">
        <v>56</v>
      </c>
      <c r="D55" t="s">
        <v>66</v>
      </c>
      <c r="E55" s="11">
        <v>0</v>
      </c>
      <c r="F55" s="11">
        <v>0</v>
      </c>
      <c r="G55" s="11">
        <v>0</v>
      </c>
      <c r="H55" s="11">
        <v>0</v>
      </c>
      <c r="I55" t="s">
        <v>67</v>
      </c>
      <c r="J55" t="s">
        <v>68</v>
      </c>
      <c r="K55" s="6">
        <f t="shared" si="0"/>
        <v>0</v>
      </c>
      <c r="M55" t="s">
        <v>69</v>
      </c>
    </row>
    <row r="56" spans="1:13" x14ac:dyDescent="0.2">
      <c r="A56" s="8" t="s">
        <v>56</v>
      </c>
      <c r="B56">
        <v>2016</v>
      </c>
      <c r="C56" s="8" t="s">
        <v>56</v>
      </c>
      <c r="D56" t="s">
        <v>66</v>
      </c>
      <c r="E56" s="11">
        <v>0</v>
      </c>
      <c r="F56" s="11">
        <v>0</v>
      </c>
      <c r="G56" s="11">
        <v>0</v>
      </c>
      <c r="H56" s="11">
        <v>0</v>
      </c>
      <c r="I56" t="s">
        <v>70</v>
      </c>
      <c r="J56" t="s">
        <v>68</v>
      </c>
      <c r="K56" s="6">
        <f t="shared" si="0"/>
        <v>0</v>
      </c>
      <c r="M56" t="s">
        <v>69</v>
      </c>
    </row>
    <row r="57" spans="1:13" x14ac:dyDescent="0.2">
      <c r="A57" s="8" t="s">
        <v>56</v>
      </c>
      <c r="B57">
        <v>2016</v>
      </c>
      <c r="C57" s="8" t="s">
        <v>56</v>
      </c>
      <c r="D57" t="s">
        <v>71</v>
      </c>
      <c r="E57" s="11">
        <v>1</v>
      </c>
      <c r="I57" t="s">
        <v>72</v>
      </c>
      <c r="J57" t="s">
        <v>73</v>
      </c>
      <c r="K57" s="6">
        <f t="shared" si="0"/>
        <v>1</v>
      </c>
    </row>
    <row r="58" spans="1:13" x14ac:dyDescent="0.2">
      <c r="A58" t="s">
        <v>74</v>
      </c>
      <c r="B58">
        <v>2011</v>
      </c>
      <c r="C58" t="s">
        <v>75</v>
      </c>
      <c r="D58" t="s">
        <v>76</v>
      </c>
      <c r="E58" s="11">
        <f>(1059638674*(1/1))/25212650666</f>
        <v>4.2028055202817445E-2</v>
      </c>
      <c r="G58" s="11">
        <f>(1059638674*(10353780734/(10353780734+5185705766+6600263481)))/25212650666</f>
        <v>1.9654660446475607E-2</v>
      </c>
      <c r="I58" t="s">
        <v>77</v>
      </c>
      <c r="J58" t="s">
        <v>78</v>
      </c>
      <c r="K58" s="6">
        <f t="shared" si="0"/>
        <v>6.1682715649293049E-2</v>
      </c>
    </row>
    <row r="59" spans="1:13" x14ac:dyDescent="0.2">
      <c r="A59" t="s">
        <v>74</v>
      </c>
      <c r="B59">
        <v>2012</v>
      </c>
      <c r="C59" t="s">
        <v>75</v>
      </c>
      <c r="D59" t="s">
        <v>76</v>
      </c>
      <c r="E59" s="11">
        <f>(123245411*((3211883007+4549369068)/(9763461252+3211883007+4549369068)))/15657586660</f>
        <v>3.4859953216025328E-3</v>
      </c>
      <c r="G59" s="11">
        <f>(123245411*(9763461252/(9763461252+3211883007+4549369068)))/15657586660</f>
        <v>4.3852950423749256E-3</v>
      </c>
      <c r="I59" t="s">
        <v>77</v>
      </c>
      <c r="J59" t="s">
        <v>78</v>
      </c>
      <c r="K59" s="6">
        <f t="shared" si="0"/>
        <v>7.8712903639774588E-3</v>
      </c>
    </row>
    <row r="60" spans="1:13" x14ac:dyDescent="0.2">
      <c r="A60" t="s">
        <v>74</v>
      </c>
      <c r="B60">
        <v>2010</v>
      </c>
      <c r="C60" t="s">
        <v>79</v>
      </c>
      <c r="D60" t="s">
        <v>79</v>
      </c>
      <c r="E60" s="5">
        <f>5071797312/26388029532</f>
        <v>0.19220068348982169</v>
      </c>
      <c r="I60" t="s">
        <v>80</v>
      </c>
      <c r="J60" t="s">
        <v>81</v>
      </c>
      <c r="K60" s="6">
        <f t="shared" si="0"/>
        <v>0.19220068348982169</v>
      </c>
    </row>
    <row r="61" spans="1:13" x14ac:dyDescent="0.2">
      <c r="A61" s="8" t="s">
        <v>74</v>
      </c>
      <c r="B61">
        <v>2013</v>
      </c>
      <c r="C61" s="8" t="s">
        <v>82</v>
      </c>
      <c r="D61" t="s">
        <v>79</v>
      </c>
      <c r="E61" s="11">
        <f>(60071199*(((3585473222+6108116550)/(7729782408+3585473222+6108116550))))/11314494553</f>
        <v>2.9538168642125953E-3</v>
      </c>
      <c r="G61" s="11">
        <f>(60071199*(((7729782408)/(7729782408+3585473222+6108116550))))/11314494553</f>
        <v>2.3554082822233387E-3</v>
      </c>
      <c r="I61" t="s">
        <v>77</v>
      </c>
      <c r="J61" t="s">
        <v>83</v>
      </c>
      <c r="K61" s="6">
        <f t="shared" si="0"/>
        <v>5.3092251464359336E-3</v>
      </c>
    </row>
    <row r="62" spans="1:13" x14ac:dyDescent="0.2">
      <c r="A62" s="8" t="s">
        <v>74</v>
      </c>
      <c r="B62">
        <v>2014</v>
      </c>
      <c r="C62" s="8" t="s">
        <v>82</v>
      </c>
      <c r="D62" t="s">
        <v>79</v>
      </c>
      <c r="E62" s="11">
        <f>(60071199*((3496950822+5313667461)/(7110292498+3496950822+5313667461)))/11314494553</f>
        <v>2.9381206130227227E-3</v>
      </c>
      <c r="G62" s="11">
        <f>(60071199*((7110292498)/(7110292498+3496950822+5313667461)))/11314494553</f>
        <v>2.3711045334132114E-3</v>
      </c>
      <c r="I62" t="s">
        <v>77</v>
      </c>
      <c r="J62" t="s">
        <v>84</v>
      </c>
      <c r="K62" s="6">
        <f t="shared" si="0"/>
        <v>5.3092251464359336E-3</v>
      </c>
    </row>
    <row r="63" spans="1:13" x14ac:dyDescent="0.2">
      <c r="A63" t="s">
        <v>74</v>
      </c>
      <c r="B63">
        <v>2016</v>
      </c>
      <c r="C63" t="s">
        <v>79</v>
      </c>
      <c r="D63" t="s">
        <v>79</v>
      </c>
      <c r="E63" s="11">
        <f>(18643*((7465157297+5057993484)/(7465157297+2537928011+5057993484)))/6558438</f>
        <v>2.3635941767366571E-3</v>
      </c>
      <c r="G63" s="11">
        <f>(18643*(2537928011/(7465157297+2537928011+5057993484)))/6558438</f>
        <v>4.7900340518757558E-4</v>
      </c>
      <c r="I63" t="s">
        <v>77</v>
      </c>
      <c r="J63" t="s">
        <v>85</v>
      </c>
      <c r="K63" s="6">
        <f t="shared" si="0"/>
        <v>2.8425975819242329E-3</v>
      </c>
    </row>
    <row r="64" spans="1:13" x14ac:dyDescent="0.2">
      <c r="A64" s="8" t="s">
        <v>74</v>
      </c>
      <c r="B64">
        <v>2017</v>
      </c>
      <c r="C64" s="8" t="s">
        <v>82</v>
      </c>
      <c r="D64" t="s">
        <v>79</v>
      </c>
      <c r="E64" s="12">
        <f>(6078*((1463313+5798136)/(1463313+5798136+3586546)))/6604885</f>
        <v>6.1598374310474946E-4</v>
      </c>
      <c r="F64" s="7"/>
      <c r="G64" s="12">
        <f>(6078*(3586546/(1463313+5798136+3586546)))/6604885</f>
        <v>3.0424423966860696E-4</v>
      </c>
      <c r="H64" s="7"/>
      <c r="I64" t="s">
        <v>77</v>
      </c>
      <c r="J64" t="s">
        <v>85</v>
      </c>
      <c r="K64" s="6">
        <f t="shared" si="0"/>
        <v>9.2022798277335643E-4</v>
      </c>
    </row>
    <row r="65" spans="1:11" x14ac:dyDescent="0.2">
      <c r="A65" s="8" t="s">
        <v>74</v>
      </c>
      <c r="B65">
        <v>2018</v>
      </c>
      <c r="C65" s="8" t="s">
        <v>82</v>
      </c>
      <c r="D65" t="s">
        <v>79</v>
      </c>
      <c r="E65" s="12">
        <f>(3990*((639180+5733650)/(2450945+639180+5733650)))/14335108</f>
        <v>2.0102489066054288E-4</v>
      </c>
      <c r="F65" s="7"/>
      <c r="G65" s="12">
        <f>(3990*(2450945/(2450945+639180+5733650)))/14335108</f>
        <v>7.7312740280221544E-5</v>
      </c>
      <c r="H65" s="7"/>
      <c r="I65" t="s">
        <v>77</v>
      </c>
      <c r="J65" t="s">
        <v>86</v>
      </c>
      <c r="K65" s="6">
        <f t="shared" si="0"/>
        <v>2.783376309407644E-4</v>
      </c>
    </row>
    <row r="66" spans="1:11" x14ac:dyDescent="0.2">
      <c r="A66" t="s">
        <v>74</v>
      </c>
      <c r="B66">
        <v>2018</v>
      </c>
      <c r="C66" s="8" t="s">
        <v>82</v>
      </c>
      <c r="D66" t="s">
        <v>79</v>
      </c>
      <c r="E66" s="12">
        <f>(3990*((639180+5733650)/(2450945+639180+5733650)))/14335108</f>
        <v>2.0102489066054288E-4</v>
      </c>
      <c r="F66" s="7"/>
      <c r="G66" s="12">
        <f>(3990*(2450945/(2450945+639180+5733650)))/14335108</f>
        <v>7.7312740280221544E-5</v>
      </c>
      <c r="H66" s="7"/>
      <c r="I66" t="s">
        <v>77</v>
      </c>
      <c r="J66" t="s">
        <v>86</v>
      </c>
      <c r="K66" s="6">
        <f t="shared" ref="K66:K129" si="1">SUM(E66:H66)</f>
        <v>2.783376309407644E-4</v>
      </c>
    </row>
    <row r="67" spans="1:11" x14ac:dyDescent="0.2">
      <c r="A67" t="s">
        <v>74</v>
      </c>
      <c r="B67">
        <v>2018</v>
      </c>
      <c r="C67" t="s">
        <v>79</v>
      </c>
      <c r="D67" t="s">
        <v>79</v>
      </c>
      <c r="E67" s="12">
        <f>(3990*((639180+5733650)/(2450945+639180+5733650)))/14335108</f>
        <v>2.0102489066054288E-4</v>
      </c>
      <c r="F67" s="7"/>
      <c r="G67" s="12">
        <f>(3990*(2450945/(2450945+639180+5733650)))/14335108</f>
        <v>7.7312740280221544E-5</v>
      </c>
      <c r="H67" s="7"/>
      <c r="I67" t="s">
        <v>77</v>
      </c>
      <c r="J67" t="s">
        <v>86</v>
      </c>
      <c r="K67" s="6">
        <f t="shared" si="1"/>
        <v>2.783376309407644E-4</v>
      </c>
    </row>
    <row r="68" spans="1:11" x14ac:dyDescent="0.2">
      <c r="A68" s="9" t="s">
        <v>74</v>
      </c>
      <c r="B68" s="9">
        <v>2019</v>
      </c>
      <c r="C68" s="9" t="s">
        <v>79</v>
      </c>
      <c r="D68" s="9" t="s">
        <v>79</v>
      </c>
      <c r="E68" s="13">
        <f>(3990*((639180+5733650)/(2450945+639180+5733650)))/14335108</f>
        <v>2.0102489066054288E-4</v>
      </c>
      <c r="F68" s="10"/>
      <c r="G68" s="13">
        <f>(3990*(2450945/(2450945+639180+5733650)))/14335108</f>
        <v>7.7312740280221544E-5</v>
      </c>
      <c r="H68" s="10"/>
      <c r="I68" s="9" t="s">
        <v>77</v>
      </c>
      <c r="J68" s="9" t="s">
        <v>86</v>
      </c>
      <c r="K68" s="6">
        <f t="shared" si="1"/>
        <v>2.783376309407644E-4</v>
      </c>
    </row>
    <row r="69" spans="1:11" x14ac:dyDescent="0.2">
      <c r="A69" t="s">
        <v>74</v>
      </c>
      <c r="B69">
        <v>2011</v>
      </c>
      <c r="C69" t="s">
        <v>87</v>
      </c>
      <c r="D69" t="s">
        <v>88</v>
      </c>
      <c r="E69" s="5">
        <f>(5185705766+6600263481)/(10353780734+5185705766+6600263481)</f>
        <v>0.53234427927661976</v>
      </c>
      <c r="G69" s="5">
        <f>10353780734/(10353780734+5185705766+6600263481)</f>
        <v>0.4676557207233803</v>
      </c>
      <c r="I69" t="s">
        <v>89</v>
      </c>
      <c r="J69" s="8" t="s">
        <v>90</v>
      </c>
      <c r="K69" s="6">
        <f t="shared" si="1"/>
        <v>1</v>
      </c>
    </row>
    <row r="70" spans="1:11" x14ac:dyDescent="0.2">
      <c r="A70" t="s">
        <v>74</v>
      </c>
      <c r="B70">
        <v>2011</v>
      </c>
      <c r="C70" t="s">
        <v>91</v>
      </c>
      <c r="D70" t="s">
        <v>91</v>
      </c>
      <c r="E70" s="5">
        <f>(5185705766+6600263481)/(10353780734+5185705766+6600263481)</f>
        <v>0.53234427927661976</v>
      </c>
      <c r="G70" s="5">
        <f>10353780734/(10353780734+5185705766+6600263481)</f>
        <v>0.4676557207233803</v>
      </c>
      <c r="I70" t="s">
        <v>89</v>
      </c>
      <c r="J70" s="8" t="s">
        <v>90</v>
      </c>
      <c r="K70" s="6">
        <f t="shared" si="1"/>
        <v>1</v>
      </c>
    </row>
    <row r="71" spans="1:11" x14ac:dyDescent="0.2">
      <c r="A71" t="s">
        <v>74</v>
      </c>
      <c r="B71">
        <v>2010</v>
      </c>
      <c r="C71" t="s">
        <v>91</v>
      </c>
      <c r="D71" t="s">
        <v>92</v>
      </c>
      <c r="E71" s="5">
        <f>8972421584/(8972421584+3887141738)</f>
        <v>0.69772365976456441</v>
      </c>
      <c r="G71" s="5">
        <f>3887141738/(8972421584+3887141738)</f>
        <v>0.30227634023543554</v>
      </c>
      <c r="I71" t="s">
        <v>93</v>
      </c>
      <c r="J71" s="8" t="s">
        <v>94</v>
      </c>
      <c r="K71" s="6">
        <f t="shared" si="1"/>
        <v>1</v>
      </c>
    </row>
    <row r="72" spans="1:11" x14ac:dyDescent="0.2">
      <c r="A72" t="s">
        <v>74</v>
      </c>
      <c r="B72">
        <v>2011</v>
      </c>
      <c r="C72" t="s">
        <v>91</v>
      </c>
      <c r="D72" t="s">
        <v>92</v>
      </c>
      <c r="E72" s="5">
        <f>(5185705766+6600263481)/(10353780734+5185705766+6600263481)</f>
        <v>0.53234427927661976</v>
      </c>
      <c r="G72" s="5">
        <f>10353780734/(10353780734+5185705766+6600263481)</f>
        <v>0.4676557207233803</v>
      </c>
      <c r="I72" t="s">
        <v>89</v>
      </c>
      <c r="J72" s="8" t="s">
        <v>90</v>
      </c>
      <c r="K72" s="6">
        <f t="shared" si="1"/>
        <v>1</v>
      </c>
    </row>
    <row r="73" spans="1:11" x14ac:dyDescent="0.2">
      <c r="A73" t="s">
        <v>74</v>
      </c>
      <c r="B73">
        <v>2012</v>
      </c>
      <c r="C73" t="s">
        <v>91</v>
      </c>
      <c r="D73" t="s">
        <v>92</v>
      </c>
      <c r="E73" s="5">
        <f>(3211883007+4549369068)/(9763461252+3211883007+4549369068)</f>
        <v>0.44287469530485174</v>
      </c>
      <c r="G73" s="5">
        <f>9763461252/(9763461252+3211883007+4549369068)</f>
        <v>0.5571253046951482</v>
      </c>
      <c r="I73" t="s">
        <v>89</v>
      </c>
      <c r="J73" s="8" t="s">
        <v>95</v>
      </c>
      <c r="K73" s="6">
        <f t="shared" si="1"/>
        <v>1</v>
      </c>
    </row>
    <row r="74" spans="1:11" x14ac:dyDescent="0.2">
      <c r="A74" t="s">
        <v>74</v>
      </c>
      <c r="B74">
        <v>2016</v>
      </c>
      <c r="C74" t="s">
        <v>92</v>
      </c>
      <c r="D74" t="s">
        <v>92</v>
      </c>
      <c r="E74" s="5">
        <f>(7465157297+5057993484)/(7465157297+2537928011+5057993484)</f>
        <v>0.8314909545292285</v>
      </c>
      <c r="G74" s="5">
        <f>2537928011/(7465157297+2537928011+5057993484)</f>
        <v>0.16850904547077147</v>
      </c>
      <c r="I74" t="s">
        <v>89</v>
      </c>
      <c r="J74" t="s">
        <v>96</v>
      </c>
      <c r="K74" s="6">
        <f t="shared" si="1"/>
        <v>1</v>
      </c>
    </row>
    <row r="75" spans="1:11" x14ac:dyDescent="0.2">
      <c r="A75" s="8" t="s">
        <v>74</v>
      </c>
      <c r="B75">
        <v>2017</v>
      </c>
      <c r="C75" s="8" t="s">
        <v>91</v>
      </c>
      <c r="D75" t="s">
        <v>92</v>
      </c>
      <c r="E75" s="12">
        <f>(1463313+5798136)/(1463313+5798136+3586546)</f>
        <v>0.6693816691471558</v>
      </c>
      <c r="F75" s="7"/>
      <c r="G75" s="12">
        <f>3586546/(1463313+5798136+3586546)</f>
        <v>0.33061833085284426</v>
      </c>
      <c r="H75" s="7"/>
      <c r="I75" t="s">
        <v>89</v>
      </c>
      <c r="J75" t="s">
        <v>97</v>
      </c>
      <c r="K75" s="6">
        <f t="shared" si="1"/>
        <v>1</v>
      </c>
    </row>
    <row r="76" spans="1:11" x14ac:dyDescent="0.2">
      <c r="A76" t="s">
        <v>74</v>
      </c>
      <c r="B76">
        <v>2013</v>
      </c>
      <c r="C76" t="s">
        <v>91</v>
      </c>
      <c r="D76" t="s">
        <v>98</v>
      </c>
      <c r="E76" s="5">
        <v>1</v>
      </c>
      <c r="I76" s="8" t="s">
        <v>99</v>
      </c>
      <c r="J76" s="8" t="s">
        <v>100</v>
      </c>
      <c r="K76" s="6">
        <f t="shared" si="1"/>
        <v>1</v>
      </c>
    </row>
    <row r="77" spans="1:11" x14ac:dyDescent="0.2">
      <c r="A77" t="s">
        <v>74</v>
      </c>
      <c r="B77">
        <v>2015</v>
      </c>
      <c r="C77" t="s">
        <v>91</v>
      </c>
      <c r="D77" t="s">
        <v>98</v>
      </c>
      <c r="E77" s="5">
        <v>1</v>
      </c>
      <c r="I77" s="8" t="s">
        <v>99</v>
      </c>
      <c r="J77" s="8" t="s">
        <v>100</v>
      </c>
      <c r="K77" s="6">
        <f t="shared" si="1"/>
        <v>1</v>
      </c>
    </row>
    <row r="78" spans="1:11" x14ac:dyDescent="0.2">
      <c r="A78" t="s">
        <v>74</v>
      </c>
      <c r="B78">
        <v>2016</v>
      </c>
      <c r="C78" t="s">
        <v>91</v>
      </c>
      <c r="D78" t="s">
        <v>98</v>
      </c>
      <c r="E78" s="5">
        <v>1</v>
      </c>
      <c r="I78" s="8" t="s">
        <v>101</v>
      </c>
      <c r="J78" t="s">
        <v>102</v>
      </c>
      <c r="K78" s="6">
        <f t="shared" si="1"/>
        <v>1</v>
      </c>
    </row>
    <row r="79" spans="1:11" x14ac:dyDescent="0.2">
      <c r="A79" t="s">
        <v>74</v>
      </c>
      <c r="B79">
        <v>2011</v>
      </c>
      <c r="C79" t="s">
        <v>87</v>
      </c>
      <c r="D79" t="s">
        <v>103</v>
      </c>
      <c r="E79" s="5">
        <v>1</v>
      </c>
      <c r="I79" t="s">
        <v>104</v>
      </c>
      <c r="K79" s="6">
        <f t="shared" si="1"/>
        <v>1</v>
      </c>
    </row>
    <row r="80" spans="1:11" x14ac:dyDescent="0.2">
      <c r="A80" t="s">
        <v>74</v>
      </c>
      <c r="B80">
        <v>2011</v>
      </c>
      <c r="C80" t="s">
        <v>91</v>
      </c>
      <c r="D80" t="s">
        <v>105</v>
      </c>
      <c r="E80" s="5">
        <v>1</v>
      </c>
      <c r="I80" s="8" t="s">
        <v>106</v>
      </c>
      <c r="K80" s="6">
        <f t="shared" si="1"/>
        <v>1</v>
      </c>
    </row>
    <row r="81" spans="1:11" x14ac:dyDescent="0.2">
      <c r="A81" t="s">
        <v>74</v>
      </c>
      <c r="B81">
        <v>2012</v>
      </c>
      <c r="C81" t="s">
        <v>87</v>
      </c>
      <c r="D81" t="s">
        <v>107</v>
      </c>
      <c r="G81" s="5">
        <v>1</v>
      </c>
      <c r="I81" s="8" t="s">
        <v>99</v>
      </c>
      <c r="J81" s="8" t="s">
        <v>108</v>
      </c>
      <c r="K81" s="6">
        <f t="shared" si="1"/>
        <v>1</v>
      </c>
    </row>
    <row r="82" spans="1:11" x14ac:dyDescent="0.2">
      <c r="A82" t="s">
        <v>74</v>
      </c>
      <c r="B82">
        <v>2015</v>
      </c>
      <c r="C82" t="s">
        <v>91</v>
      </c>
      <c r="D82" t="s">
        <v>109</v>
      </c>
      <c r="G82" s="5">
        <v>1</v>
      </c>
      <c r="I82" s="8" t="s">
        <v>101</v>
      </c>
      <c r="J82" t="s">
        <v>110</v>
      </c>
      <c r="K82" s="6">
        <f t="shared" si="1"/>
        <v>1</v>
      </c>
    </row>
    <row r="83" spans="1:11" x14ac:dyDescent="0.2">
      <c r="A83" t="s">
        <v>74</v>
      </c>
      <c r="B83">
        <v>2016</v>
      </c>
      <c r="C83" t="s">
        <v>91</v>
      </c>
      <c r="D83" t="s">
        <v>109</v>
      </c>
      <c r="G83" s="5">
        <v>1</v>
      </c>
      <c r="I83" s="8" t="s">
        <v>101</v>
      </c>
      <c r="J83" t="s">
        <v>110</v>
      </c>
      <c r="K83" s="6">
        <f t="shared" si="1"/>
        <v>1</v>
      </c>
    </row>
    <row r="84" spans="1:11" x14ac:dyDescent="0.2">
      <c r="A84" t="s">
        <v>74</v>
      </c>
      <c r="B84">
        <v>2010</v>
      </c>
      <c r="C84" t="s">
        <v>87</v>
      </c>
      <c r="D84" t="s">
        <v>111</v>
      </c>
      <c r="E84" s="5">
        <v>1</v>
      </c>
      <c r="I84" s="8" t="s">
        <v>99</v>
      </c>
      <c r="J84" s="8" t="s">
        <v>112</v>
      </c>
      <c r="K84" s="6">
        <f t="shared" si="1"/>
        <v>1</v>
      </c>
    </row>
    <row r="85" spans="1:11" x14ac:dyDescent="0.2">
      <c r="A85" t="s">
        <v>74</v>
      </c>
      <c r="B85">
        <v>2015</v>
      </c>
      <c r="C85" t="s">
        <v>91</v>
      </c>
      <c r="D85" t="s">
        <v>113</v>
      </c>
      <c r="G85" s="5">
        <v>1</v>
      </c>
      <c r="I85" s="8" t="s">
        <v>101</v>
      </c>
      <c r="J85" t="s">
        <v>114</v>
      </c>
      <c r="K85" s="6">
        <f t="shared" si="1"/>
        <v>1</v>
      </c>
    </row>
    <row r="86" spans="1:11" x14ac:dyDescent="0.2">
      <c r="A86" t="s">
        <v>74</v>
      </c>
      <c r="B86">
        <v>2016</v>
      </c>
      <c r="C86" t="s">
        <v>91</v>
      </c>
      <c r="D86" t="s">
        <v>113</v>
      </c>
      <c r="G86" s="5">
        <v>1</v>
      </c>
      <c r="I86" s="8" t="s">
        <v>101</v>
      </c>
      <c r="J86" t="s">
        <v>114</v>
      </c>
      <c r="K86" s="6">
        <f t="shared" si="1"/>
        <v>1</v>
      </c>
    </row>
    <row r="87" spans="1:11" x14ac:dyDescent="0.2">
      <c r="A87" t="s">
        <v>74</v>
      </c>
      <c r="B87">
        <v>2012</v>
      </c>
      <c r="C87" t="s">
        <v>75</v>
      </c>
      <c r="D87" t="s">
        <v>115</v>
      </c>
      <c r="E87" s="11">
        <f>(123245411*((3211883007+4549369068)/(9763461252+3211883007+4549369068)))/15657586660</f>
        <v>3.4859953216025328E-3</v>
      </c>
      <c r="G87" s="11">
        <f>(123245411*(9763461252/(9763461252+3211883007+4549369068)))/15657586660</f>
        <v>4.3852950423749256E-3</v>
      </c>
      <c r="I87" t="s">
        <v>77</v>
      </c>
      <c r="J87" t="s">
        <v>78</v>
      </c>
      <c r="K87" s="6">
        <f t="shared" si="1"/>
        <v>7.8712903639774588E-3</v>
      </c>
    </row>
    <row r="88" spans="1:11" x14ac:dyDescent="0.2">
      <c r="A88" t="s">
        <v>116</v>
      </c>
      <c r="B88">
        <v>2010</v>
      </c>
      <c r="C88" t="s">
        <v>117</v>
      </c>
      <c r="D88" t="s">
        <v>117</v>
      </c>
      <c r="E88" s="5">
        <f>11601/345218</f>
        <v>3.3604852585902241E-2</v>
      </c>
      <c r="H88" s="5">
        <f>8282/345218</f>
        <v>2.3990637799882971E-2</v>
      </c>
      <c r="I88" s="8" t="s">
        <v>118</v>
      </c>
      <c r="J88" t="s">
        <v>119</v>
      </c>
      <c r="K88" s="6">
        <f t="shared" si="1"/>
        <v>5.7595490385785209E-2</v>
      </c>
    </row>
    <row r="89" spans="1:11" x14ac:dyDescent="0.2">
      <c r="A89" t="s">
        <v>116</v>
      </c>
      <c r="B89">
        <v>2011</v>
      </c>
      <c r="C89" t="s">
        <v>117</v>
      </c>
      <c r="D89" t="s">
        <v>117</v>
      </c>
      <c r="E89" s="5">
        <f>34965/1109211</f>
        <v>3.152240646729973E-2</v>
      </c>
      <c r="H89" s="5">
        <f>7651/1109211</f>
        <v>6.8976957495012221E-3</v>
      </c>
      <c r="I89" s="8" t="s">
        <v>120</v>
      </c>
      <c r="J89" t="s">
        <v>121</v>
      </c>
      <c r="K89" s="6">
        <f t="shared" si="1"/>
        <v>3.842010221680095E-2</v>
      </c>
    </row>
    <row r="90" spans="1:11" x14ac:dyDescent="0.2">
      <c r="A90" t="s">
        <v>116</v>
      </c>
      <c r="B90">
        <v>2012</v>
      </c>
      <c r="C90" t="s">
        <v>117</v>
      </c>
      <c r="D90" t="s">
        <v>117</v>
      </c>
      <c r="E90" s="5">
        <f>2600/92004</f>
        <v>2.8259640885178905E-2</v>
      </c>
      <c r="H90" s="5">
        <f>366/92004</f>
        <v>3.9780879092213379E-3</v>
      </c>
      <c r="I90" s="8" t="s">
        <v>122</v>
      </c>
      <c r="J90" t="s">
        <v>123</v>
      </c>
      <c r="K90" s="6">
        <f t="shared" si="1"/>
        <v>3.223772879440024E-2</v>
      </c>
    </row>
    <row r="91" spans="1:11" x14ac:dyDescent="0.2">
      <c r="A91" t="s">
        <v>116</v>
      </c>
      <c r="B91">
        <v>2015</v>
      </c>
      <c r="C91" t="s">
        <v>117</v>
      </c>
      <c r="D91" t="s">
        <v>117</v>
      </c>
      <c r="E91" s="5">
        <f>4580/234343</f>
        <v>1.9544001741037709E-2</v>
      </c>
      <c r="H91" s="5">
        <f>44/234343</f>
        <v>1.8775896869119196E-4</v>
      </c>
      <c r="I91" s="8" t="s">
        <v>122</v>
      </c>
      <c r="J91" t="s">
        <v>124</v>
      </c>
      <c r="K91" s="6">
        <f t="shared" si="1"/>
        <v>1.9731760709728902E-2</v>
      </c>
    </row>
    <row r="92" spans="1:11" x14ac:dyDescent="0.2">
      <c r="A92" s="8" t="s">
        <v>116</v>
      </c>
      <c r="B92" t="s">
        <v>125</v>
      </c>
      <c r="C92" s="8" t="s">
        <v>116</v>
      </c>
      <c r="D92" t="s">
        <v>117</v>
      </c>
      <c r="E92" s="5">
        <f>787/214525</f>
        <v>3.6685700967253234E-3</v>
      </c>
      <c r="H92" s="5">
        <f>40/214525</f>
        <v>1.8645845472555647E-4</v>
      </c>
      <c r="I92" s="8" t="s">
        <v>122</v>
      </c>
      <c r="J92" t="s">
        <v>124</v>
      </c>
      <c r="K92" s="6">
        <f t="shared" si="1"/>
        <v>3.8550285514508797E-3</v>
      </c>
    </row>
    <row r="93" spans="1:11" x14ac:dyDescent="0.2">
      <c r="A93" t="s">
        <v>116</v>
      </c>
      <c r="B93">
        <v>2016</v>
      </c>
      <c r="C93" t="s">
        <v>126</v>
      </c>
      <c r="D93" t="s">
        <v>126</v>
      </c>
      <c r="E93" s="5">
        <f>1421/86264</f>
        <v>1.6472688491143465E-2</v>
      </c>
      <c r="H93" s="5">
        <f>130/86264</f>
        <v>1.5070017620328294E-3</v>
      </c>
      <c r="I93" s="8" t="s">
        <v>122</v>
      </c>
      <c r="J93" t="s">
        <v>124</v>
      </c>
      <c r="K93" s="6">
        <f t="shared" si="1"/>
        <v>1.7979690253176295E-2</v>
      </c>
    </row>
    <row r="94" spans="1:11" x14ac:dyDescent="0.2">
      <c r="A94" t="s">
        <v>116</v>
      </c>
      <c r="B94">
        <v>2017</v>
      </c>
      <c r="C94" t="s">
        <v>126</v>
      </c>
      <c r="D94" t="s">
        <v>126</v>
      </c>
      <c r="E94" s="5">
        <f>787/214525</f>
        <v>3.6685700967253234E-3</v>
      </c>
      <c r="H94" s="5">
        <f>40/214525</f>
        <v>1.8645845472555647E-4</v>
      </c>
      <c r="I94" s="8" t="s">
        <v>122</v>
      </c>
      <c r="J94" t="s">
        <v>124</v>
      </c>
      <c r="K94" s="6">
        <f t="shared" si="1"/>
        <v>3.8550285514508797E-3</v>
      </c>
    </row>
    <row r="95" spans="1:11" x14ac:dyDescent="0.2">
      <c r="A95" s="8" t="s">
        <v>116</v>
      </c>
      <c r="B95">
        <v>2018</v>
      </c>
      <c r="C95" s="8" t="s">
        <v>116</v>
      </c>
      <c r="D95" t="s">
        <v>126</v>
      </c>
      <c r="E95" s="7"/>
      <c r="F95" s="7"/>
      <c r="G95" s="7"/>
      <c r="H95" s="7">
        <f>25/418026</f>
        <v>5.9804892518647163E-5</v>
      </c>
      <c r="I95" s="8" t="s">
        <v>127</v>
      </c>
      <c r="J95" t="s">
        <v>128</v>
      </c>
      <c r="K95" s="6">
        <f t="shared" si="1"/>
        <v>5.9804892518647163E-5</v>
      </c>
    </row>
    <row r="96" spans="1:11" x14ac:dyDescent="0.2">
      <c r="A96" t="s">
        <v>116</v>
      </c>
      <c r="B96">
        <v>2018</v>
      </c>
      <c r="C96" s="8" t="s">
        <v>116</v>
      </c>
      <c r="D96" t="s">
        <v>126</v>
      </c>
      <c r="E96" s="7"/>
      <c r="F96" s="7"/>
      <c r="G96" s="7"/>
      <c r="H96" s="7">
        <f>25/418026</f>
        <v>5.9804892518647163E-5</v>
      </c>
      <c r="I96" s="8" t="s">
        <v>127</v>
      </c>
      <c r="J96" t="s">
        <v>128</v>
      </c>
      <c r="K96" s="6">
        <f t="shared" si="1"/>
        <v>5.9804892518647163E-5</v>
      </c>
    </row>
    <row r="97" spans="1:11" x14ac:dyDescent="0.2">
      <c r="A97" t="s">
        <v>116</v>
      </c>
      <c r="B97">
        <v>2018</v>
      </c>
      <c r="C97" t="s">
        <v>129</v>
      </c>
      <c r="D97" t="s">
        <v>129</v>
      </c>
      <c r="E97" s="7"/>
      <c r="F97" s="7"/>
      <c r="G97" s="7"/>
      <c r="H97" s="7">
        <f>25/418026</f>
        <v>5.9804892518647163E-5</v>
      </c>
      <c r="I97" s="8" t="s">
        <v>127</v>
      </c>
      <c r="J97" t="s">
        <v>128</v>
      </c>
      <c r="K97" s="6">
        <f t="shared" si="1"/>
        <v>5.9804892518647163E-5</v>
      </c>
    </row>
    <row r="98" spans="1:11" x14ac:dyDescent="0.2">
      <c r="A98" s="9" t="s">
        <v>116</v>
      </c>
      <c r="B98" s="9">
        <v>2019</v>
      </c>
      <c r="C98" s="9" t="s">
        <v>126</v>
      </c>
      <c r="D98" s="9" t="s">
        <v>126</v>
      </c>
      <c r="E98" s="10"/>
      <c r="F98" s="10"/>
      <c r="G98" s="10"/>
      <c r="H98" s="10">
        <f>25/418026</f>
        <v>5.9804892518647163E-5</v>
      </c>
      <c r="I98" s="14" t="s">
        <v>127</v>
      </c>
      <c r="J98" s="9" t="s">
        <v>128</v>
      </c>
      <c r="K98" s="6">
        <f t="shared" si="1"/>
        <v>5.9804892518647163E-5</v>
      </c>
    </row>
    <row r="99" spans="1:11" x14ac:dyDescent="0.2">
      <c r="A99" t="s">
        <v>116</v>
      </c>
      <c r="B99">
        <v>2010</v>
      </c>
      <c r="C99" t="s">
        <v>130</v>
      </c>
      <c r="D99" t="s">
        <v>131</v>
      </c>
      <c r="E99" s="5">
        <v>1</v>
      </c>
      <c r="I99" t="s">
        <v>99</v>
      </c>
      <c r="J99" t="s">
        <v>132</v>
      </c>
      <c r="K99" s="6">
        <f t="shared" si="1"/>
        <v>1</v>
      </c>
    </row>
    <row r="100" spans="1:11" x14ac:dyDescent="0.2">
      <c r="A100" s="8" t="s">
        <v>116</v>
      </c>
      <c r="B100">
        <v>2015</v>
      </c>
      <c r="C100" s="8" t="s">
        <v>82</v>
      </c>
      <c r="D100" t="s">
        <v>131</v>
      </c>
      <c r="E100" s="5">
        <v>1</v>
      </c>
      <c r="I100" t="s">
        <v>99</v>
      </c>
      <c r="J100" t="s">
        <v>132</v>
      </c>
      <c r="K100" s="6">
        <f t="shared" si="1"/>
        <v>1</v>
      </c>
    </row>
    <row r="101" spans="1:11" x14ac:dyDescent="0.2">
      <c r="A101" t="s">
        <v>116</v>
      </c>
      <c r="B101">
        <v>2010</v>
      </c>
      <c r="C101" t="s">
        <v>130</v>
      </c>
      <c r="D101" t="s">
        <v>133</v>
      </c>
      <c r="E101" s="5">
        <v>1</v>
      </c>
      <c r="I101" t="s">
        <v>99</v>
      </c>
      <c r="J101" t="s">
        <v>134</v>
      </c>
      <c r="K101" s="6">
        <f t="shared" si="1"/>
        <v>1</v>
      </c>
    </row>
    <row r="102" spans="1:11" x14ac:dyDescent="0.2">
      <c r="A102" t="s">
        <v>135</v>
      </c>
      <c r="B102">
        <v>2011</v>
      </c>
      <c r="C102" t="s">
        <v>136</v>
      </c>
      <c r="D102" s="15" t="s">
        <v>136</v>
      </c>
      <c r="E102" s="16" t="s">
        <v>137</v>
      </c>
      <c r="F102" s="16" t="s">
        <v>137</v>
      </c>
      <c r="G102" s="16" t="s">
        <v>137</v>
      </c>
      <c r="H102" s="16" t="s">
        <v>137</v>
      </c>
      <c r="K102" s="6">
        <f t="shared" si="1"/>
        <v>0</v>
      </c>
    </row>
    <row r="103" spans="1:11" x14ac:dyDescent="0.2">
      <c r="A103" t="s">
        <v>135</v>
      </c>
      <c r="B103">
        <v>2011</v>
      </c>
      <c r="C103" t="s">
        <v>138</v>
      </c>
      <c r="D103" s="15" t="s">
        <v>136</v>
      </c>
      <c r="E103" s="16" t="s">
        <v>137</v>
      </c>
      <c r="F103" s="16" t="s">
        <v>137</v>
      </c>
      <c r="G103" s="16" t="s">
        <v>137</v>
      </c>
      <c r="H103" s="16" t="s">
        <v>137</v>
      </c>
      <c r="K103" s="6">
        <f t="shared" si="1"/>
        <v>0</v>
      </c>
    </row>
    <row r="104" spans="1:11" x14ac:dyDescent="0.2">
      <c r="A104" t="s">
        <v>135</v>
      </c>
      <c r="B104">
        <v>2013</v>
      </c>
      <c r="C104" t="s">
        <v>138</v>
      </c>
      <c r="D104" s="15" t="s">
        <v>136</v>
      </c>
      <c r="E104" s="16" t="s">
        <v>137</v>
      </c>
      <c r="F104" s="16" t="s">
        <v>137</v>
      </c>
      <c r="G104" s="16" t="s">
        <v>137</v>
      </c>
      <c r="H104" s="16" t="s">
        <v>137</v>
      </c>
      <c r="K104" s="6">
        <f t="shared" si="1"/>
        <v>0</v>
      </c>
    </row>
    <row r="105" spans="1:11" x14ac:dyDescent="0.2">
      <c r="A105" t="s">
        <v>135</v>
      </c>
      <c r="B105">
        <v>2014</v>
      </c>
      <c r="C105" t="s">
        <v>138</v>
      </c>
      <c r="D105" s="15" t="s">
        <v>136</v>
      </c>
      <c r="E105" s="16" t="s">
        <v>137</v>
      </c>
      <c r="F105" s="16" t="s">
        <v>137</v>
      </c>
      <c r="G105" s="16" t="s">
        <v>137</v>
      </c>
      <c r="H105" s="16" t="s">
        <v>137</v>
      </c>
      <c r="K105" s="6">
        <f t="shared" si="1"/>
        <v>0</v>
      </c>
    </row>
    <row r="106" spans="1:11" x14ac:dyDescent="0.2">
      <c r="A106" t="s">
        <v>135</v>
      </c>
      <c r="B106">
        <v>2015</v>
      </c>
      <c r="C106" t="s">
        <v>136</v>
      </c>
      <c r="D106" s="15" t="s">
        <v>136</v>
      </c>
      <c r="E106" s="16" t="s">
        <v>137</v>
      </c>
      <c r="F106" s="16" t="s">
        <v>137</v>
      </c>
      <c r="G106" s="16" t="s">
        <v>137</v>
      </c>
      <c r="H106" s="16" t="s">
        <v>137</v>
      </c>
      <c r="K106" s="6">
        <f t="shared" si="1"/>
        <v>0</v>
      </c>
    </row>
    <row r="107" spans="1:11" x14ac:dyDescent="0.2">
      <c r="A107" t="s">
        <v>135</v>
      </c>
      <c r="B107">
        <v>2016</v>
      </c>
      <c r="C107" t="s">
        <v>136</v>
      </c>
      <c r="D107" s="15" t="s">
        <v>136</v>
      </c>
      <c r="E107" s="16" t="s">
        <v>137</v>
      </c>
      <c r="F107" s="16" t="s">
        <v>137</v>
      </c>
      <c r="G107" s="16" t="s">
        <v>137</v>
      </c>
      <c r="H107" s="16" t="s">
        <v>137</v>
      </c>
      <c r="K107" s="6">
        <f t="shared" si="1"/>
        <v>0</v>
      </c>
    </row>
    <row r="108" spans="1:11" x14ac:dyDescent="0.2">
      <c r="A108" t="s">
        <v>135</v>
      </c>
      <c r="B108">
        <v>2013</v>
      </c>
      <c r="C108" t="s">
        <v>139</v>
      </c>
      <c r="D108" s="15" t="s">
        <v>139</v>
      </c>
      <c r="E108" s="16" t="s">
        <v>137</v>
      </c>
      <c r="F108" s="16" t="s">
        <v>137</v>
      </c>
      <c r="G108" s="16" t="s">
        <v>137</v>
      </c>
      <c r="H108" s="16" t="s">
        <v>137</v>
      </c>
      <c r="K108" s="6">
        <f t="shared" si="1"/>
        <v>0</v>
      </c>
    </row>
    <row r="109" spans="1:11" x14ac:dyDescent="0.2">
      <c r="A109" t="s">
        <v>135</v>
      </c>
      <c r="B109">
        <v>2013</v>
      </c>
      <c r="C109" t="s">
        <v>140</v>
      </c>
      <c r="D109" s="15" t="s">
        <v>139</v>
      </c>
      <c r="E109" s="16" t="s">
        <v>137</v>
      </c>
      <c r="F109" s="16" t="s">
        <v>137</v>
      </c>
      <c r="G109" s="16" t="s">
        <v>137</v>
      </c>
      <c r="H109" s="16" t="s">
        <v>137</v>
      </c>
      <c r="K109" s="6">
        <f t="shared" si="1"/>
        <v>0</v>
      </c>
    </row>
    <row r="110" spans="1:11" x14ac:dyDescent="0.2">
      <c r="A110" t="s">
        <v>135</v>
      </c>
      <c r="B110">
        <v>2016</v>
      </c>
      <c r="C110" t="s">
        <v>139</v>
      </c>
      <c r="D110" s="15" t="s">
        <v>139</v>
      </c>
      <c r="E110" s="16" t="s">
        <v>137</v>
      </c>
      <c r="F110" s="16" t="s">
        <v>137</v>
      </c>
      <c r="G110" s="16" t="s">
        <v>137</v>
      </c>
      <c r="H110" s="16" t="s">
        <v>137</v>
      </c>
      <c r="K110" s="6">
        <f t="shared" si="1"/>
        <v>0</v>
      </c>
    </row>
    <row r="111" spans="1:11" x14ac:dyDescent="0.2">
      <c r="A111" t="s">
        <v>135</v>
      </c>
      <c r="B111">
        <v>2014</v>
      </c>
      <c r="C111" t="s">
        <v>141</v>
      </c>
      <c r="D111" s="15" t="s">
        <v>141</v>
      </c>
      <c r="E111" s="16" t="s">
        <v>137</v>
      </c>
      <c r="F111" s="16" t="s">
        <v>137</v>
      </c>
      <c r="G111" s="16" t="s">
        <v>137</v>
      </c>
      <c r="H111" s="16" t="s">
        <v>137</v>
      </c>
      <c r="K111" s="6">
        <f t="shared" si="1"/>
        <v>0</v>
      </c>
    </row>
    <row r="112" spans="1:11" x14ac:dyDescent="0.2">
      <c r="A112" t="s">
        <v>135</v>
      </c>
      <c r="B112">
        <v>2015</v>
      </c>
      <c r="C112" t="s">
        <v>141</v>
      </c>
      <c r="D112" s="15" t="s">
        <v>141</v>
      </c>
      <c r="E112" s="16" t="s">
        <v>137</v>
      </c>
      <c r="F112" s="16" t="s">
        <v>137</v>
      </c>
      <c r="G112" s="16" t="s">
        <v>137</v>
      </c>
      <c r="H112" s="16" t="s">
        <v>137</v>
      </c>
      <c r="K112" s="6">
        <f t="shared" si="1"/>
        <v>0</v>
      </c>
    </row>
    <row r="113" spans="1:11" x14ac:dyDescent="0.2">
      <c r="A113" t="s">
        <v>135</v>
      </c>
      <c r="B113">
        <v>2016</v>
      </c>
      <c r="C113" t="s">
        <v>141</v>
      </c>
      <c r="D113" s="15" t="s">
        <v>141</v>
      </c>
      <c r="E113" s="16" t="s">
        <v>137</v>
      </c>
      <c r="F113" s="16" t="s">
        <v>137</v>
      </c>
      <c r="G113" s="16" t="s">
        <v>137</v>
      </c>
      <c r="H113" s="16" t="s">
        <v>137</v>
      </c>
      <c r="K113" s="6">
        <f t="shared" si="1"/>
        <v>0</v>
      </c>
    </row>
    <row r="114" spans="1:11" x14ac:dyDescent="0.2">
      <c r="A114" t="s">
        <v>135</v>
      </c>
      <c r="B114">
        <v>2011</v>
      </c>
      <c r="C114" t="s">
        <v>138</v>
      </c>
      <c r="D114" s="15" t="s">
        <v>142</v>
      </c>
      <c r="E114" s="16" t="s">
        <v>137</v>
      </c>
      <c r="F114" s="16" t="s">
        <v>137</v>
      </c>
      <c r="G114" s="16" t="s">
        <v>137</v>
      </c>
      <c r="H114" s="16" t="s">
        <v>137</v>
      </c>
      <c r="K114" s="6">
        <f t="shared" si="1"/>
        <v>0</v>
      </c>
    </row>
    <row r="115" spans="1:11" x14ac:dyDescent="0.2">
      <c r="A115" t="s">
        <v>143</v>
      </c>
      <c r="B115">
        <v>2013</v>
      </c>
      <c r="C115" t="s">
        <v>144</v>
      </c>
      <c r="D115" t="s">
        <v>144</v>
      </c>
      <c r="E115" s="5">
        <f>((448609+480737)/1054732)*((163751+37989)/(163751+37989+15029+3670))</f>
        <v>0.80637841814345679</v>
      </c>
      <c r="G115" s="5">
        <f>((448609+480737)/1054732)*((15029+3670)/(163751+37989+15029+3670))</f>
        <v>7.4742093986638738E-2</v>
      </c>
      <c r="I115" t="s">
        <v>145</v>
      </c>
      <c r="J115" t="s">
        <v>146</v>
      </c>
      <c r="K115" s="6">
        <f t="shared" si="1"/>
        <v>0.88112051213009557</v>
      </c>
    </row>
    <row r="116" spans="1:11" x14ac:dyDescent="0.2">
      <c r="A116" t="s">
        <v>143</v>
      </c>
      <c r="B116">
        <v>2015</v>
      </c>
      <c r="C116" t="s">
        <v>144</v>
      </c>
      <c r="D116" t="s">
        <v>144</v>
      </c>
      <c r="E116" s="5">
        <f>((462210+473321)/992562)*((176730+37816)/(176730+37816+10777+3500))</f>
        <v>0.88373343323113296</v>
      </c>
      <c r="G116" s="5">
        <f>((462210+473321)/992562)*((10777+3500)/(176730+37816+10777+3500))</f>
        <v>5.8808191372670127E-2</v>
      </c>
      <c r="I116" t="s">
        <v>147</v>
      </c>
      <c r="J116" t="s">
        <v>148</v>
      </c>
      <c r="K116" s="6">
        <f t="shared" si="1"/>
        <v>0.94254162460380309</v>
      </c>
    </row>
    <row r="117" spans="1:11" x14ac:dyDescent="0.2">
      <c r="A117" t="s">
        <v>143</v>
      </c>
      <c r="B117">
        <v>2016</v>
      </c>
      <c r="C117" t="s">
        <v>144</v>
      </c>
      <c r="D117" t="s">
        <v>144</v>
      </c>
      <c r="E117" s="5">
        <f>((379949+495016)/947706)*((180186+36685)/(180186+36685+10305+3364))</f>
        <v>0.86850484176130116</v>
      </c>
      <c r="G117" s="5">
        <f>((379949+495016)/947706)*((10305+3364)/(180186+36685+10305+3364))</f>
        <v>5.4740341871597521E-2</v>
      </c>
      <c r="I117" t="s">
        <v>147</v>
      </c>
      <c r="J117" t="s">
        <v>148</v>
      </c>
      <c r="K117" s="6">
        <f t="shared" si="1"/>
        <v>0.92324518363289865</v>
      </c>
    </row>
    <row r="118" spans="1:11" x14ac:dyDescent="0.2">
      <c r="A118" t="s">
        <v>143</v>
      </c>
      <c r="B118">
        <v>2017</v>
      </c>
      <c r="C118" t="s">
        <v>149</v>
      </c>
      <c r="D118" t="s">
        <v>149</v>
      </c>
      <c r="E118" s="5">
        <f>((375602+301190)*(220122/(220122+13055))/(375602+301190+17643+43338))</f>
        <v>0.86598465927462531</v>
      </c>
      <c r="G118" s="5">
        <f>((375602+301190)*(13055/(220122+13055))/(375602+301190+17643+43338))</f>
        <v>5.1359835576772123E-2</v>
      </c>
      <c r="I118" t="s">
        <v>147</v>
      </c>
      <c r="J118" t="s">
        <v>150</v>
      </c>
      <c r="K118" s="6">
        <f t="shared" si="1"/>
        <v>0.91734449485139746</v>
      </c>
    </row>
    <row r="119" spans="1:11" x14ac:dyDescent="0.2">
      <c r="A119" s="8" t="s">
        <v>143</v>
      </c>
      <c r="B119">
        <v>2018</v>
      </c>
      <c r="C119" s="8" t="s">
        <v>151</v>
      </c>
      <c r="D119" t="s">
        <v>149</v>
      </c>
      <c r="E119" s="7">
        <f>((282338+153034)*(219161/(219161+11783)))/(282338+153034+1366+56418)</f>
        <v>0.83778535300209633</v>
      </c>
      <c r="F119" s="7"/>
      <c r="G119" s="7">
        <f>((282338+153034)*(11783/(219161+11783)))/(282338+153034+1366+56418)</f>
        <v>4.5042798738934853E-2</v>
      </c>
      <c r="H119" s="7"/>
      <c r="I119" t="s">
        <v>147</v>
      </c>
      <c r="J119" t="s">
        <v>152</v>
      </c>
      <c r="K119" s="6">
        <f t="shared" si="1"/>
        <v>0.88282815174103124</v>
      </c>
    </row>
    <row r="120" spans="1:11" x14ac:dyDescent="0.2">
      <c r="A120" t="s">
        <v>143</v>
      </c>
      <c r="B120">
        <v>2018</v>
      </c>
      <c r="C120" s="8" t="s">
        <v>151</v>
      </c>
      <c r="D120" t="s">
        <v>149</v>
      </c>
      <c r="E120" s="7">
        <f>((282338+153034)*(219161/(219161+11783)))/(282338+153034+1366+56418)</f>
        <v>0.83778535300209633</v>
      </c>
      <c r="F120" s="7"/>
      <c r="G120" s="7">
        <f>((282338+153034)*(11783/(219161+11783)))/(282338+153034+1366+56418)</f>
        <v>4.5042798738934853E-2</v>
      </c>
      <c r="H120" s="7"/>
      <c r="I120" t="s">
        <v>147</v>
      </c>
      <c r="J120" t="s">
        <v>152</v>
      </c>
      <c r="K120" s="6">
        <f t="shared" si="1"/>
        <v>0.88282815174103124</v>
      </c>
    </row>
    <row r="121" spans="1:11" x14ac:dyDescent="0.2">
      <c r="A121" t="s">
        <v>143</v>
      </c>
      <c r="B121">
        <v>2018</v>
      </c>
      <c r="C121" t="s">
        <v>149</v>
      </c>
      <c r="D121" t="s">
        <v>149</v>
      </c>
      <c r="E121" s="7">
        <f>((282338+153034)*(219161/(219161+11783)))/(282338+153034+1366+56418)</f>
        <v>0.83778535300209633</v>
      </c>
      <c r="F121" s="7"/>
      <c r="G121" s="7">
        <f>((282338+153034)*(11783/(219161+11783)))/(282338+153034+1366+56418)</f>
        <v>4.5042798738934853E-2</v>
      </c>
      <c r="H121" s="7"/>
      <c r="I121" t="s">
        <v>147</v>
      </c>
      <c r="J121" t="s">
        <v>152</v>
      </c>
      <c r="K121" s="6">
        <f t="shared" si="1"/>
        <v>0.88282815174103124</v>
      </c>
    </row>
    <row r="122" spans="1:11" x14ac:dyDescent="0.2">
      <c r="A122" s="9" t="s">
        <v>143</v>
      </c>
      <c r="B122" s="9">
        <v>2019</v>
      </c>
      <c r="C122" s="9" t="s">
        <v>149</v>
      </c>
      <c r="D122" s="9" t="s">
        <v>149</v>
      </c>
      <c r="E122" s="10">
        <f>((282338+153034)*(219161/(219161+11783)))/(282338+153034+1366+56418)</f>
        <v>0.83778535300209633</v>
      </c>
      <c r="F122" s="10"/>
      <c r="G122" s="10">
        <f>((282338+153034)*(11783/(219161+11783)))/(282338+153034+1366+56418)</f>
        <v>4.5042798738934853E-2</v>
      </c>
      <c r="H122" s="10"/>
      <c r="I122" s="9" t="s">
        <v>147</v>
      </c>
      <c r="J122" s="9" t="s">
        <v>152</v>
      </c>
      <c r="K122" s="6">
        <f t="shared" si="1"/>
        <v>0.88282815174103124</v>
      </c>
    </row>
    <row r="123" spans="1:11" x14ac:dyDescent="0.2">
      <c r="A123" t="s">
        <v>143</v>
      </c>
      <c r="B123">
        <v>2010</v>
      </c>
      <c r="C123" t="s">
        <v>153</v>
      </c>
      <c r="D123" t="s">
        <v>153</v>
      </c>
      <c r="E123" s="5">
        <v>1</v>
      </c>
      <c r="I123" t="s">
        <v>154</v>
      </c>
      <c r="J123" t="s">
        <v>155</v>
      </c>
      <c r="K123" s="6">
        <f t="shared" si="1"/>
        <v>1</v>
      </c>
    </row>
    <row r="124" spans="1:11" x14ac:dyDescent="0.2">
      <c r="A124" t="s">
        <v>143</v>
      </c>
      <c r="B124">
        <v>2013</v>
      </c>
      <c r="C124" t="s">
        <v>153</v>
      </c>
      <c r="D124" t="s">
        <v>153</v>
      </c>
      <c r="E124" s="5">
        <v>1</v>
      </c>
      <c r="I124" t="s">
        <v>156</v>
      </c>
      <c r="J124" t="s">
        <v>157</v>
      </c>
      <c r="K124" s="6">
        <f t="shared" si="1"/>
        <v>1</v>
      </c>
    </row>
    <row r="125" spans="1:11" x14ac:dyDescent="0.2">
      <c r="A125" t="s">
        <v>143</v>
      </c>
      <c r="B125">
        <v>2015</v>
      </c>
      <c r="C125" t="s">
        <v>153</v>
      </c>
      <c r="D125" t="s">
        <v>153</v>
      </c>
      <c r="E125" s="5">
        <v>1</v>
      </c>
      <c r="I125" t="s">
        <v>156</v>
      </c>
      <c r="J125" t="s">
        <v>158</v>
      </c>
      <c r="K125" s="6">
        <f t="shared" si="1"/>
        <v>1</v>
      </c>
    </row>
    <row r="126" spans="1:11" x14ac:dyDescent="0.2">
      <c r="A126" t="s">
        <v>143</v>
      </c>
      <c r="B126">
        <v>2016</v>
      </c>
      <c r="C126" t="s">
        <v>153</v>
      </c>
      <c r="D126" t="s">
        <v>153</v>
      </c>
      <c r="E126" s="5">
        <v>1</v>
      </c>
      <c r="I126" t="s">
        <v>156</v>
      </c>
      <c r="J126" t="s">
        <v>159</v>
      </c>
      <c r="K126" s="6">
        <f t="shared" si="1"/>
        <v>1</v>
      </c>
    </row>
    <row r="127" spans="1:11" x14ac:dyDescent="0.2">
      <c r="A127" s="8" t="s">
        <v>143</v>
      </c>
      <c r="B127">
        <v>2017</v>
      </c>
      <c r="C127" s="8" t="s">
        <v>160</v>
      </c>
      <c r="D127" t="s">
        <v>153</v>
      </c>
      <c r="E127" s="5">
        <v>1</v>
      </c>
      <c r="I127" t="s">
        <v>156</v>
      </c>
      <c r="J127" t="s">
        <v>159</v>
      </c>
      <c r="K127" s="6">
        <f t="shared" si="1"/>
        <v>1</v>
      </c>
    </row>
    <row r="128" spans="1:11" x14ac:dyDescent="0.2">
      <c r="A128" s="8" t="s">
        <v>143</v>
      </c>
      <c r="B128">
        <v>2018</v>
      </c>
      <c r="C128" s="8" t="s">
        <v>160</v>
      </c>
      <c r="D128" t="s">
        <v>153</v>
      </c>
      <c r="E128" s="5">
        <v>1</v>
      </c>
      <c r="I128" t="s">
        <v>161</v>
      </c>
      <c r="J128" t="s">
        <v>162</v>
      </c>
      <c r="K128" s="6">
        <f t="shared" si="1"/>
        <v>1</v>
      </c>
    </row>
    <row r="129" spans="1:11" x14ac:dyDescent="0.2">
      <c r="A129" t="s">
        <v>143</v>
      </c>
      <c r="B129">
        <v>2018</v>
      </c>
      <c r="C129" s="8" t="s">
        <v>160</v>
      </c>
      <c r="D129" t="s">
        <v>153</v>
      </c>
      <c r="E129" s="7">
        <v>1</v>
      </c>
      <c r="F129" s="7"/>
      <c r="G129" s="7"/>
      <c r="H129" s="7"/>
      <c r="I129" t="s">
        <v>161</v>
      </c>
      <c r="J129" t="s">
        <v>162</v>
      </c>
      <c r="K129" s="6">
        <f t="shared" si="1"/>
        <v>1</v>
      </c>
    </row>
    <row r="130" spans="1:11" x14ac:dyDescent="0.2">
      <c r="A130" t="s">
        <v>143</v>
      </c>
      <c r="B130">
        <v>2018</v>
      </c>
      <c r="C130" t="s">
        <v>153</v>
      </c>
      <c r="D130" t="s">
        <v>153</v>
      </c>
      <c r="E130" s="7">
        <v>1</v>
      </c>
      <c r="F130" s="7"/>
      <c r="G130" s="7"/>
      <c r="H130" s="7"/>
      <c r="I130" t="s">
        <v>161</v>
      </c>
      <c r="J130" t="s">
        <v>162</v>
      </c>
      <c r="K130" s="6">
        <f t="shared" ref="K130:K193" si="2">SUM(E130:H130)</f>
        <v>1</v>
      </c>
    </row>
    <row r="131" spans="1:11" x14ac:dyDescent="0.2">
      <c r="A131" s="9" t="s">
        <v>143</v>
      </c>
      <c r="B131" s="9">
        <v>2019</v>
      </c>
      <c r="C131" s="9" t="s">
        <v>153</v>
      </c>
      <c r="D131" s="9" t="s">
        <v>153</v>
      </c>
      <c r="E131" s="10">
        <v>1</v>
      </c>
      <c r="F131" s="10"/>
      <c r="G131" s="10"/>
      <c r="H131" s="10"/>
      <c r="I131" s="9" t="s">
        <v>161</v>
      </c>
      <c r="J131" s="9" t="s">
        <v>162</v>
      </c>
      <c r="K131" s="6">
        <f t="shared" si="2"/>
        <v>1</v>
      </c>
    </row>
    <row r="132" spans="1:11" x14ac:dyDescent="0.2">
      <c r="A132" t="s">
        <v>143</v>
      </c>
      <c r="B132">
        <v>2011</v>
      </c>
      <c r="C132" t="s">
        <v>163</v>
      </c>
      <c r="D132" t="s">
        <v>163</v>
      </c>
      <c r="E132" s="11">
        <f>((447119+314405)/866789)*(((152829+39595)/(152829+39595+15957+3623)))</f>
        <v>0.79741681060419012</v>
      </c>
      <c r="G132" s="11">
        <f>((447119+314405)/866789)*(((15957+3623)/(152829+39595+15957+3623)))</f>
        <v>8.1140716083388992E-2</v>
      </c>
      <c r="H132" s="11"/>
      <c r="I132" t="s">
        <v>164</v>
      </c>
      <c r="J132" t="s">
        <v>165</v>
      </c>
      <c r="K132" s="6">
        <f t="shared" si="2"/>
        <v>0.87855752668757914</v>
      </c>
    </row>
    <row r="133" spans="1:11" x14ac:dyDescent="0.2">
      <c r="A133" t="s">
        <v>143</v>
      </c>
      <c r="B133">
        <v>2012</v>
      </c>
      <c r="C133" t="s">
        <v>163</v>
      </c>
      <c r="D133" t="s">
        <v>163</v>
      </c>
      <c r="E133" s="5">
        <f>((344425+108330)/476523)*((148358+38726)/(148358+38726+17175+4057))</f>
        <v>0.85328361633574124</v>
      </c>
      <c r="G133" s="5">
        <f>((344425+108330)/476523)*((17175+4057)/(148358+38726+17175+4057))</f>
        <v>9.6838413450858751E-2</v>
      </c>
      <c r="I133" t="s">
        <v>164</v>
      </c>
      <c r="J133" t="s">
        <v>165</v>
      </c>
      <c r="K133" s="6">
        <f t="shared" si="2"/>
        <v>0.95012202978659999</v>
      </c>
    </row>
    <row r="134" spans="1:11" x14ac:dyDescent="0.2">
      <c r="A134" t="s">
        <v>143</v>
      </c>
      <c r="B134">
        <v>2015</v>
      </c>
      <c r="C134" t="s">
        <v>163</v>
      </c>
      <c r="D134" t="s">
        <v>163</v>
      </c>
      <c r="E134" s="5">
        <f>((444425+462424)/963829)*((173313+35936)/(173313+35936+10777+3500))</f>
        <v>0.8807858596942516</v>
      </c>
      <c r="G134" s="5">
        <f>((444425+462424)/963829)*((10777+3500)/(173313+35936+10777+3500))</f>
        <v>6.0095769723414821E-2</v>
      </c>
      <c r="I134" t="s">
        <v>166</v>
      </c>
      <c r="J134" t="s">
        <v>167</v>
      </c>
      <c r="K134" s="6">
        <f t="shared" si="2"/>
        <v>0.9408816294176664</v>
      </c>
    </row>
    <row r="135" spans="1:11" x14ac:dyDescent="0.2">
      <c r="A135" t="s">
        <v>143</v>
      </c>
      <c r="B135">
        <v>2016</v>
      </c>
      <c r="C135" t="s">
        <v>163</v>
      </c>
      <c r="D135" t="s">
        <v>163</v>
      </c>
      <c r="E135" s="5">
        <f>((364498+477552)/913915)*((176391+35183)/(176391+35183+10305+3364))</f>
        <v>0.8654521648035941</v>
      </c>
      <c r="G135" s="5">
        <f>((364498+477552)/913915)*((10305+3364)/(176391+35183+10305+3364))</f>
        <v>5.5913607724485656E-2</v>
      </c>
      <c r="I135" t="s">
        <v>166</v>
      </c>
      <c r="J135" t="s">
        <v>167</v>
      </c>
      <c r="K135" s="6">
        <f t="shared" si="2"/>
        <v>0.92136577252807972</v>
      </c>
    </row>
    <row r="136" spans="1:11" x14ac:dyDescent="0.2">
      <c r="A136" t="s">
        <v>143</v>
      </c>
      <c r="B136">
        <v>2017</v>
      </c>
      <c r="C136" t="s">
        <v>163</v>
      </c>
      <c r="D136" t="s">
        <v>163</v>
      </c>
      <c r="E136" s="5">
        <f>((360352+273057)*(211041/223926))/(360352+273057+17643+43325)</f>
        <v>0.85970849166157259</v>
      </c>
      <c r="G136" s="5">
        <f>((360352+273057)*(12255/223926))/(360352+273057+17643+43325)</f>
        <v>4.9922657518266945E-2</v>
      </c>
      <c r="I136" t="s">
        <v>168</v>
      </c>
      <c r="J136" t="s">
        <v>169</v>
      </c>
      <c r="K136" s="6">
        <f t="shared" si="2"/>
        <v>0.90963114917983956</v>
      </c>
    </row>
    <row r="137" spans="1:11" x14ac:dyDescent="0.2">
      <c r="A137" s="8" t="s">
        <v>143</v>
      </c>
      <c r="B137">
        <v>2018</v>
      </c>
      <c r="C137" s="8" t="s">
        <v>170</v>
      </c>
      <c r="D137" t="s">
        <v>163</v>
      </c>
      <c r="E137" s="7">
        <f>((277903+137680)*(213834/(213834+11783)))/(277903+137680+1366+55637)</f>
        <v>0.83345443479286341</v>
      </c>
      <c r="F137" s="7"/>
      <c r="G137" s="7">
        <f>((277903+137680)*(11783/(213834+11783)))/(277903+137680+1366+55637)</f>
        <v>4.5926249357746238E-2</v>
      </c>
      <c r="H137" s="7"/>
      <c r="I137" t="s">
        <v>171</v>
      </c>
      <c r="J137" t="s">
        <v>172</v>
      </c>
      <c r="K137" s="6">
        <f t="shared" si="2"/>
        <v>0.87938068415060966</v>
      </c>
    </row>
    <row r="138" spans="1:11" x14ac:dyDescent="0.2">
      <c r="A138" t="s">
        <v>143</v>
      </c>
      <c r="B138">
        <v>2018</v>
      </c>
      <c r="C138" s="8" t="s">
        <v>170</v>
      </c>
      <c r="D138" t="s">
        <v>163</v>
      </c>
      <c r="E138" s="7">
        <f>((277903+137680)*(213834/(213834+11783)))/(277903+137680+1366+55637)</f>
        <v>0.83345443479286341</v>
      </c>
      <c r="F138" s="7"/>
      <c r="G138" s="7">
        <f>((277903+137680)*(11783/(213834+11783)))/(277903+137680+1366+55637)</f>
        <v>4.5926249357746238E-2</v>
      </c>
      <c r="H138" s="7"/>
      <c r="I138" t="s">
        <v>171</v>
      </c>
      <c r="J138" t="s">
        <v>172</v>
      </c>
      <c r="K138" s="6">
        <f t="shared" si="2"/>
        <v>0.87938068415060966</v>
      </c>
    </row>
    <row r="139" spans="1:11" x14ac:dyDescent="0.2">
      <c r="A139" t="s">
        <v>143</v>
      </c>
      <c r="B139">
        <v>2018</v>
      </c>
      <c r="C139" t="s">
        <v>173</v>
      </c>
      <c r="D139" t="s">
        <v>173</v>
      </c>
      <c r="E139" s="7">
        <f>((277903+137680)*(213834/(213834+11783)))/(277903+137680+1366+55637)</f>
        <v>0.83345443479286341</v>
      </c>
      <c r="F139" s="7"/>
      <c r="G139" s="7">
        <f>((277903+137680)*(11783/(213834+11783)))/(277903+137680+1366+55637)</f>
        <v>4.5926249357746238E-2</v>
      </c>
      <c r="H139" s="7"/>
      <c r="I139" t="s">
        <v>171</v>
      </c>
      <c r="J139" t="s">
        <v>172</v>
      </c>
      <c r="K139" s="6">
        <f t="shared" si="2"/>
        <v>0.87938068415060966</v>
      </c>
    </row>
    <row r="140" spans="1:11" x14ac:dyDescent="0.2">
      <c r="A140" s="9" t="s">
        <v>143</v>
      </c>
      <c r="B140" s="9">
        <v>2019</v>
      </c>
      <c r="C140" s="9" t="s">
        <v>163</v>
      </c>
      <c r="D140" s="9" t="s">
        <v>163</v>
      </c>
      <c r="E140" s="10">
        <f>((277903+137680)*(213834/(213834+11783)))/(277903+137680+1366+55637)</f>
        <v>0.83345443479286341</v>
      </c>
      <c r="F140" s="10"/>
      <c r="G140" s="10">
        <f>((277903+137680)*(11783/(213834+11783)))/(277903+137680+1366+55637)</f>
        <v>4.5926249357746238E-2</v>
      </c>
      <c r="H140" s="10"/>
      <c r="I140" s="9" t="s">
        <v>171</v>
      </c>
      <c r="J140" s="9" t="s">
        <v>172</v>
      </c>
      <c r="K140" s="6">
        <f t="shared" si="2"/>
        <v>0.87938068415060966</v>
      </c>
    </row>
    <row r="141" spans="1:11" x14ac:dyDescent="0.2">
      <c r="A141" t="s">
        <v>174</v>
      </c>
      <c r="B141">
        <v>2010</v>
      </c>
      <c r="C141" t="s">
        <v>174</v>
      </c>
      <c r="D141" t="s">
        <v>175</v>
      </c>
      <c r="E141" s="11">
        <v>1</v>
      </c>
      <c r="F141" s="11"/>
      <c r="G141" s="11"/>
      <c r="H141" s="11"/>
      <c r="I141" s="11" t="s">
        <v>176</v>
      </c>
      <c r="K141" s="6">
        <f t="shared" si="2"/>
        <v>1</v>
      </c>
    </row>
    <row r="142" spans="1:11" x14ac:dyDescent="0.2">
      <c r="A142" t="s">
        <v>174</v>
      </c>
      <c r="B142">
        <v>2013</v>
      </c>
      <c r="C142" t="s">
        <v>174</v>
      </c>
      <c r="D142" t="s">
        <v>175</v>
      </c>
      <c r="E142" s="11">
        <v>1</v>
      </c>
      <c r="F142" s="11">
        <v>0</v>
      </c>
      <c r="G142" s="11">
        <v>0</v>
      </c>
      <c r="H142" s="11">
        <v>0</v>
      </c>
      <c r="I142" t="s">
        <v>177</v>
      </c>
      <c r="J142" t="s">
        <v>178</v>
      </c>
      <c r="K142" s="6">
        <f t="shared" si="2"/>
        <v>1</v>
      </c>
    </row>
    <row r="143" spans="1:11" x14ac:dyDescent="0.2">
      <c r="A143" t="s">
        <v>174</v>
      </c>
      <c r="B143">
        <v>2014</v>
      </c>
      <c r="C143" t="s">
        <v>174</v>
      </c>
      <c r="D143" t="s">
        <v>175</v>
      </c>
      <c r="E143" s="11">
        <v>1</v>
      </c>
      <c r="F143" s="11"/>
      <c r="G143" s="11"/>
      <c r="H143" s="11"/>
      <c r="I143" s="11" t="s">
        <v>176</v>
      </c>
      <c r="K143" s="6">
        <f t="shared" si="2"/>
        <v>1</v>
      </c>
    </row>
    <row r="144" spans="1:11" x14ac:dyDescent="0.2">
      <c r="A144" t="s">
        <v>174</v>
      </c>
      <c r="B144">
        <v>2017</v>
      </c>
      <c r="C144" t="s">
        <v>174</v>
      </c>
      <c r="D144" t="s">
        <v>175</v>
      </c>
      <c r="E144" s="11">
        <v>1</v>
      </c>
      <c r="F144" s="11"/>
      <c r="G144" s="11"/>
      <c r="H144" s="11"/>
      <c r="I144" s="11" t="s">
        <v>176</v>
      </c>
      <c r="K144" s="6">
        <f t="shared" si="2"/>
        <v>1</v>
      </c>
    </row>
    <row r="145" spans="1:13" x14ac:dyDescent="0.2">
      <c r="A145" t="s">
        <v>174</v>
      </c>
      <c r="B145">
        <v>2010</v>
      </c>
      <c r="C145" t="s">
        <v>174</v>
      </c>
      <c r="D145" t="s">
        <v>179</v>
      </c>
      <c r="E145" s="11">
        <v>1</v>
      </c>
      <c r="F145" s="11">
        <v>0</v>
      </c>
      <c r="G145" s="11">
        <v>0</v>
      </c>
      <c r="H145" s="11">
        <v>0</v>
      </c>
      <c r="I145" t="s">
        <v>177</v>
      </c>
      <c r="J145" t="s">
        <v>178</v>
      </c>
      <c r="K145" s="6">
        <f t="shared" si="2"/>
        <v>1</v>
      </c>
    </row>
    <row r="146" spans="1:13" x14ac:dyDescent="0.2">
      <c r="A146" t="s">
        <v>174</v>
      </c>
      <c r="B146">
        <v>2011</v>
      </c>
      <c r="C146" t="s">
        <v>174</v>
      </c>
      <c r="D146" t="s">
        <v>179</v>
      </c>
      <c r="E146" s="11">
        <v>1</v>
      </c>
      <c r="F146" s="11">
        <v>0</v>
      </c>
      <c r="G146" s="11">
        <v>0</v>
      </c>
      <c r="H146" s="11">
        <v>0</v>
      </c>
      <c r="I146" t="s">
        <v>177</v>
      </c>
      <c r="J146" t="s">
        <v>178</v>
      </c>
      <c r="K146" s="6">
        <f t="shared" si="2"/>
        <v>1</v>
      </c>
    </row>
    <row r="147" spans="1:13" x14ac:dyDescent="0.2">
      <c r="A147" t="s">
        <v>174</v>
      </c>
      <c r="B147">
        <v>2012</v>
      </c>
      <c r="C147" t="s">
        <v>174</v>
      </c>
      <c r="D147" t="s">
        <v>179</v>
      </c>
      <c r="E147" s="11">
        <v>1</v>
      </c>
      <c r="F147" s="11">
        <v>0</v>
      </c>
      <c r="G147" s="11">
        <v>0</v>
      </c>
      <c r="H147" s="11">
        <v>0</v>
      </c>
      <c r="I147" t="s">
        <v>177</v>
      </c>
      <c r="J147" t="s">
        <v>178</v>
      </c>
      <c r="K147" s="6">
        <f t="shared" si="2"/>
        <v>1</v>
      </c>
    </row>
    <row r="148" spans="1:13" x14ac:dyDescent="0.2">
      <c r="A148" t="s">
        <v>174</v>
      </c>
      <c r="B148">
        <v>2014</v>
      </c>
      <c r="C148" t="s">
        <v>174</v>
      </c>
      <c r="D148" t="s">
        <v>179</v>
      </c>
      <c r="E148" s="11">
        <v>1</v>
      </c>
      <c r="F148" s="11">
        <v>0</v>
      </c>
      <c r="G148" s="11">
        <v>0</v>
      </c>
      <c r="H148" s="11">
        <v>0</v>
      </c>
      <c r="I148" t="s">
        <v>177</v>
      </c>
      <c r="J148" t="s">
        <v>178</v>
      </c>
      <c r="K148" s="6">
        <f t="shared" si="2"/>
        <v>1</v>
      </c>
    </row>
    <row r="149" spans="1:13" x14ac:dyDescent="0.2">
      <c r="A149" t="s">
        <v>174</v>
      </c>
      <c r="B149">
        <v>2013</v>
      </c>
      <c r="C149" t="s">
        <v>180</v>
      </c>
      <c r="D149" t="s">
        <v>180</v>
      </c>
      <c r="E149" s="5">
        <f>(956196966+543050658)/(956196966+543050658+117696103)</f>
        <v>0.92721076124376467</v>
      </c>
      <c r="I149" t="s">
        <v>181</v>
      </c>
      <c r="J149" t="s">
        <v>182</v>
      </c>
      <c r="K149" s="6">
        <f t="shared" si="2"/>
        <v>0.92721076124376467</v>
      </c>
    </row>
    <row r="150" spans="1:13" x14ac:dyDescent="0.2">
      <c r="A150" t="s">
        <v>174</v>
      </c>
      <c r="B150">
        <v>2016</v>
      </c>
      <c r="C150" t="s">
        <v>180</v>
      </c>
      <c r="D150" t="s">
        <v>180</v>
      </c>
      <c r="E150" s="5">
        <v>1</v>
      </c>
      <c r="I150" t="s">
        <v>183</v>
      </c>
      <c r="J150" t="s">
        <v>184</v>
      </c>
      <c r="K150" s="6">
        <f t="shared" si="2"/>
        <v>1</v>
      </c>
    </row>
    <row r="151" spans="1:13" x14ac:dyDescent="0.2">
      <c r="A151" t="s">
        <v>174</v>
      </c>
      <c r="B151">
        <v>2017</v>
      </c>
      <c r="C151" t="s">
        <v>180</v>
      </c>
      <c r="D151" t="s">
        <v>180</v>
      </c>
      <c r="E151" s="5">
        <v>1</v>
      </c>
      <c r="I151" t="s">
        <v>183</v>
      </c>
      <c r="J151" t="s">
        <v>184</v>
      </c>
      <c r="K151" s="6">
        <f t="shared" si="2"/>
        <v>1</v>
      </c>
    </row>
    <row r="152" spans="1:13" x14ac:dyDescent="0.2">
      <c r="A152" t="s">
        <v>174</v>
      </c>
      <c r="B152">
        <v>2014</v>
      </c>
      <c r="C152" t="s">
        <v>174</v>
      </c>
      <c r="D152" t="s">
        <v>185</v>
      </c>
      <c r="E152" s="11">
        <v>1</v>
      </c>
      <c r="F152" s="11">
        <v>0</v>
      </c>
      <c r="G152" s="11">
        <v>0</v>
      </c>
      <c r="H152" s="11">
        <v>0</v>
      </c>
      <c r="I152" t="s">
        <v>177</v>
      </c>
      <c r="J152" t="s">
        <v>178</v>
      </c>
      <c r="K152" s="6">
        <f t="shared" si="2"/>
        <v>1</v>
      </c>
    </row>
    <row r="153" spans="1:13" x14ac:dyDescent="0.2">
      <c r="A153" t="s">
        <v>174</v>
      </c>
      <c r="B153">
        <v>2014</v>
      </c>
      <c r="C153" t="s">
        <v>174</v>
      </c>
      <c r="D153" t="s">
        <v>186</v>
      </c>
      <c r="E153" s="11">
        <v>1</v>
      </c>
      <c r="F153" s="11">
        <v>0</v>
      </c>
      <c r="G153" s="11">
        <v>0</v>
      </c>
      <c r="H153" s="11">
        <v>0</v>
      </c>
      <c r="I153" t="s">
        <v>187</v>
      </c>
      <c r="J153" t="s">
        <v>178</v>
      </c>
      <c r="K153" s="6">
        <f t="shared" si="2"/>
        <v>1</v>
      </c>
    </row>
    <row r="154" spans="1:13" x14ac:dyDescent="0.2">
      <c r="A154" t="s">
        <v>174</v>
      </c>
      <c r="B154">
        <v>2010</v>
      </c>
      <c r="C154" t="s">
        <v>174</v>
      </c>
      <c r="D154" t="s">
        <v>188</v>
      </c>
      <c r="E154" s="11">
        <v>0</v>
      </c>
      <c r="F154" s="11">
        <v>0</v>
      </c>
      <c r="G154" s="11">
        <v>0</v>
      </c>
      <c r="H154" s="11">
        <v>0</v>
      </c>
      <c r="I154" t="s">
        <v>189</v>
      </c>
      <c r="J154" t="s">
        <v>178</v>
      </c>
      <c r="K154" s="6">
        <f t="shared" si="2"/>
        <v>0</v>
      </c>
      <c r="M154" t="s">
        <v>69</v>
      </c>
    </row>
    <row r="155" spans="1:13" x14ac:dyDescent="0.2">
      <c r="A155" t="s">
        <v>190</v>
      </c>
      <c r="B155">
        <v>2017</v>
      </c>
      <c r="C155" t="s">
        <v>191</v>
      </c>
      <c r="D155" t="s">
        <v>191</v>
      </c>
      <c r="E155" s="7">
        <f>(283*$E$1367)/56344.7</f>
        <v>5.022655192058881E-3</v>
      </c>
      <c r="F155" s="7"/>
      <c r="G155" s="7">
        <f>(283*$G$1367)/56344.7</f>
        <v>0</v>
      </c>
      <c r="H155" s="7"/>
      <c r="I155" t="s">
        <v>192</v>
      </c>
      <c r="J155" t="s">
        <v>193</v>
      </c>
      <c r="K155" s="6">
        <f t="shared" si="2"/>
        <v>5.022655192058881E-3</v>
      </c>
    </row>
    <row r="156" spans="1:13" x14ac:dyDescent="0.2">
      <c r="A156" s="8" t="s">
        <v>190</v>
      </c>
      <c r="B156">
        <v>2018</v>
      </c>
      <c r="C156" s="8" t="s">
        <v>190</v>
      </c>
      <c r="D156" t="s">
        <v>191</v>
      </c>
      <c r="E156" s="7">
        <f>(179.5*(130575/194301))/55429.4</f>
        <v>2.1762524552249841E-3</v>
      </c>
      <c r="F156" s="7"/>
      <c r="G156" s="7">
        <f>(179.5*(63726/194301))/55429.4</f>
        <v>1.0621011982513296E-3</v>
      </c>
      <c r="H156" s="7"/>
      <c r="I156" t="s">
        <v>192</v>
      </c>
      <c r="J156" t="s">
        <v>194</v>
      </c>
      <c r="K156" s="6">
        <f t="shared" si="2"/>
        <v>3.2383536534763137E-3</v>
      </c>
    </row>
    <row r="157" spans="1:13" x14ac:dyDescent="0.2">
      <c r="A157" t="s">
        <v>190</v>
      </c>
      <c r="B157">
        <v>2018</v>
      </c>
      <c r="C157" t="s">
        <v>191</v>
      </c>
      <c r="D157" t="s">
        <v>191</v>
      </c>
      <c r="E157" s="7">
        <f>(179.5*(130575/194301))/55429.4</f>
        <v>2.1762524552249841E-3</v>
      </c>
      <c r="F157" s="7"/>
      <c r="G157" s="7">
        <f>(179.5*(63726/194301))/55429.4</f>
        <v>1.0621011982513296E-3</v>
      </c>
      <c r="H157" s="7"/>
      <c r="I157" t="s">
        <v>192</v>
      </c>
      <c r="J157" t="s">
        <v>194</v>
      </c>
      <c r="K157" s="6">
        <f t="shared" si="2"/>
        <v>3.2383536534763137E-3</v>
      </c>
    </row>
    <row r="158" spans="1:13" x14ac:dyDescent="0.2">
      <c r="A158" t="s">
        <v>190</v>
      </c>
      <c r="B158">
        <v>2018</v>
      </c>
      <c r="C158" t="s">
        <v>191</v>
      </c>
      <c r="D158" t="s">
        <v>191</v>
      </c>
      <c r="E158" s="7">
        <f>(179.5*(130575/194301))/55429.4</f>
        <v>2.1762524552249841E-3</v>
      </c>
      <c r="F158" s="7"/>
      <c r="G158" s="7">
        <f>(179.5*(63726/194301))/55429.4</f>
        <v>1.0621011982513296E-3</v>
      </c>
      <c r="H158" s="7"/>
      <c r="I158" t="s">
        <v>192</v>
      </c>
      <c r="J158" t="s">
        <v>194</v>
      </c>
      <c r="K158" s="6">
        <f t="shared" si="2"/>
        <v>3.2383536534763137E-3</v>
      </c>
    </row>
    <row r="159" spans="1:13" x14ac:dyDescent="0.2">
      <c r="A159" s="9" t="s">
        <v>190</v>
      </c>
      <c r="B159" s="9">
        <v>2019</v>
      </c>
      <c r="C159" s="9" t="s">
        <v>191</v>
      </c>
      <c r="D159" s="9" t="s">
        <v>191</v>
      </c>
      <c r="E159" s="10">
        <f>(179.5*(130575/194301))/55429.4</f>
        <v>2.1762524552249841E-3</v>
      </c>
      <c r="F159" s="10"/>
      <c r="G159" s="10">
        <f>(179.5*(63726/194301))/55429.4</f>
        <v>1.0621011982513296E-3</v>
      </c>
      <c r="H159" s="10"/>
      <c r="I159" s="9" t="s">
        <v>192</v>
      </c>
      <c r="J159" s="9" t="s">
        <v>194</v>
      </c>
      <c r="K159" s="6">
        <f t="shared" si="2"/>
        <v>3.2383536534763137E-3</v>
      </c>
    </row>
    <row r="160" spans="1:13" x14ac:dyDescent="0.2">
      <c r="A160" t="s">
        <v>190</v>
      </c>
      <c r="B160">
        <v>2011</v>
      </c>
      <c r="C160" t="s">
        <v>195</v>
      </c>
      <c r="D160" t="s">
        <v>195</v>
      </c>
      <c r="E160" s="7">
        <f>(324*(95163/151429))/15979</f>
        <v>1.2742495348434944E-2</v>
      </c>
      <c r="F160" s="7"/>
      <c r="G160" s="7">
        <f>(324*(56266/151429))/15979</f>
        <v>7.5341177061992648E-3</v>
      </c>
      <c r="H160" s="7"/>
      <c r="I160" t="s">
        <v>192</v>
      </c>
      <c r="J160" t="s">
        <v>196</v>
      </c>
      <c r="K160" s="6">
        <f t="shared" si="2"/>
        <v>2.0276613054634209E-2</v>
      </c>
    </row>
    <row r="161" spans="1:11" x14ac:dyDescent="0.2">
      <c r="A161" t="s">
        <v>190</v>
      </c>
      <c r="B161">
        <v>2011</v>
      </c>
      <c r="C161" t="s">
        <v>197</v>
      </c>
      <c r="D161" t="s">
        <v>195</v>
      </c>
      <c r="E161" s="7">
        <f>(324*(95163/151429))/15979</f>
        <v>1.2742495348434944E-2</v>
      </c>
      <c r="F161" s="7"/>
      <c r="G161" s="7">
        <f>(324*(56266/151429))/15979</f>
        <v>7.5341177061992648E-3</v>
      </c>
      <c r="H161" s="7"/>
      <c r="I161" t="s">
        <v>192</v>
      </c>
      <c r="J161" t="s">
        <v>196</v>
      </c>
      <c r="K161" s="6">
        <f t="shared" si="2"/>
        <v>2.0276613054634209E-2</v>
      </c>
    </row>
    <row r="162" spans="1:11" x14ac:dyDescent="0.2">
      <c r="A162" t="s">
        <v>190</v>
      </c>
      <c r="B162">
        <v>2012</v>
      </c>
      <c r="C162" t="s">
        <v>197</v>
      </c>
      <c r="D162" t="s">
        <v>195</v>
      </c>
      <c r="E162" s="7">
        <f>(324*(95163/151429))/15979</f>
        <v>1.2742495348434944E-2</v>
      </c>
      <c r="F162" s="7"/>
      <c r="G162" s="7">
        <f>(324*(56266/151429))/15979</f>
        <v>7.5341177061992648E-3</v>
      </c>
      <c r="H162" s="7"/>
      <c r="I162" t="s">
        <v>192</v>
      </c>
      <c r="J162" t="s">
        <v>196</v>
      </c>
      <c r="K162" s="6">
        <f t="shared" si="2"/>
        <v>2.0276613054634209E-2</v>
      </c>
    </row>
    <row r="163" spans="1:11" x14ac:dyDescent="0.2">
      <c r="A163" t="s">
        <v>190</v>
      </c>
      <c r="B163">
        <v>2014</v>
      </c>
      <c r="C163" t="s">
        <v>197</v>
      </c>
      <c r="D163" t="s">
        <v>195</v>
      </c>
      <c r="E163" s="7">
        <f>(282*(116299/181369))/19035.446</f>
        <v>9.4994612062605701E-3</v>
      </c>
      <c r="F163" s="7"/>
      <c r="G163" s="7">
        <f>(282*(65070/181369))/19035.446</f>
        <v>5.3150064978320991E-3</v>
      </c>
      <c r="H163" s="7"/>
      <c r="I163" t="s">
        <v>192</v>
      </c>
      <c r="J163" t="s">
        <v>198</v>
      </c>
      <c r="K163" s="6">
        <f t="shared" si="2"/>
        <v>1.4814467704092669E-2</v>
      </c>
    </row>
    <row r="164" spans="1:11" x14ac:dyDescent="0.2">
      <c r="A164" t="s">
        <v>190</v>
      </c>
      <c r="B164">
        <v>2015</v>
      </c>
      <c r="C164" t="s">
        <v>195</v>
      </c>
      <c r="D164" t="s">
        <v>195</v>
      </c>
      <c r="E164" s="7">
        <f>(224*(120780/186767))/23599.9</f>
        <v>6.1380827355379322E-3</v>
      </c>
      <c r="F164" s="7"/>
      <c r="G164" s="7">
        <f>(224*(65987/186767))/23599.9</f>
        <v>3.3534829066893652E-3</v>
      </c>
      <c r="H164" s="7"/>
      <c r="I164" t="s">
        <v>192</v>
      </c>
      <c r="J164" t="s">
        <v>199</v>
      </c>
      <c r="K164" s="6">
        <f t="shared" si="2"/>
        <v>9.4915656422272978E-3</v>
      </c>
    </row>
    <row r="165" spans="1:11" x14ac:dyDescent="0.2">
      <c r="A165" t="s">
        <v>190</v>
      </c>
      <c r="B165">
        <v>2016</v>
      </c>
      <c r="C165" t="s">
        <v>195</v>
      </c>
      <c r="D165" t="s">
        <v>195</v>
      </c>
      <c r="E165" s="7">
        <f>(250*(120779/(120779+65998)))/22453.2</f>
        <v>7.1999552614086205E-3</v>
      </c>
      <c r="F165" s="7"/>
      <c r="G165" s="7">
        <f>(250*(65998/(120779+65998)))/22453.2</f>
        <v>3.9343151321210319E-3</v>
      </c>
      <c r="H165" s="7"/>
      <c r="I165" t="s">
        <v>192</v>
      </c>
      <c r="J165" t="s">
        <v>200</v>
      </c>
      <c r="K165" s="6">
        <f t="shared" si="2"/>
        <v>1.1134270393529652E-2</v>
      </c>
    </row>
    <row r="166" spans="1:11" x14ac:dyDescent="0.2">
      <c r="A166" t="s">
        <v>190</v>
      </c>
      <c r="B166">
        <v>2016</v>
      </c>
      <c r="C166" t="s">
        <v>197</v>
      </c>
      <c r="D166" t="s">
        <v>195</v>
      </c>
      <c r="E166" s="7">
        <f>(250*(120779/(120779+65998)))/22453.2</f>
        <v>7.1999552614086205E-3</v>
      </c>
      <c r="F166" s="7"/>
      <c r="G166" s="7">
        <f>(250*(65998/(120779+65998)))/22453.2</f>
        <v>3.9343151321210319E-3</v>
      </c>
      <c r="H166" s="7"/>
      <c r="I166" t="s">
        <v>192</v>
      </c>
      <c r="J166" t="s">
        <v>200</v>
      </c>
      <c r="K166" s="6">
        <f t="shared" si="2"/>
        <v>1.1134270393529652E-2</v>
      </c>
    </row>
    <row r="167" spans="1:11" x14ac:dyDescent="0.2">
      <c r="A167" t="s">
        <v>190</v>
      </c>
      <c r="B167">
        <v>2017</v>
      </c>
      <c r="C167" t="s">
        <v>195</v>
      </c>
      <c r="D167" t="s">
        <v>195</v>
      </c>
      <c r="E167" s="7">
        <f>(283*$E$1367)/56344.7</f>
        <v>5.022655192058881E-3</v>
      </c>
      <c r="F167" s="7"/>
      <c r="G167" s="7">
        <f>(283*$G$1367)/56344.7</f>
        <v>0</v>
      </c>
      <c r="H167" s="7"/>
      <c r="I167" t="s">
        <v>192</v>
      </c>
      <c r="J167" t="s">
        <v>193</v>
      </c>
      <c r="K167" s="6">
        <f t="shared" si="2"/>
        <v>5.022655192058881E-3</v>
      </c>
    </row>
    <row r="168" spans="1:11" x14ac:dyDescent="0.2">
      <c r="A168" s="8" t="s">
        <v>190</v>
      </c>
      <c r="B168">
        <v>2018</v>
      </c>
      <c r="C168" s="8" t="s">
        <v>190</v>
      </c>
      <c r="D168" t="s">
        <v>195</v>
      </c>
      <c r="E168" s="7">
        <f>(179.5*(130575/194301))/55429.4</f>
        <v>2.1762524552249841E-3</v>
      </c>
      <c r="F168" s="7"/>
      <c r="G168" s="7">
        <f>(179.5*(63726/194301))/55429.4</f>
        <v>1.0621011982513296E-3</v>
      </c>
      <c r="H168" s="7"/>
      <c r="I168" t="s">
        <v>192</v>
      </c>
      <c r="J168" t="s">
        <v>194</v>
      </c>
      <c r="K168" s="6">
        <f t="shared" si="2"/>
        <v>3.2383536534763137E-3</v>
      </c>
    </row>
    <row r="169" spans="1:11" x14ac:dyDescent="0.2">
      <c r="A169" t="s">
        <v>190</v>
      </c>
      <c r="B169">
        <v>2018</v>
      </c>
      <c r="C169" s="8" t="s">
        <v>190</v>
      </c>
      <c r="D169" t="s">
        <v>195</v>
      </c>
      <c r="E169" s="7">
        <f>(179.5*(130575/194301))/55429.4</f>
        <v>2.1762524552249841E-3</v>
      </c>
      <c r="F169" s="7"/>
      <c r="G169" s="7">
        <f>(179.5*(63726/194301))/55429.4</f>
        <v>1.0621011982513296E-3</v>
      </c>
      <c r="H169" s="7"/>
      <c r="I169" t="s">
        <v>192</v>
      </c>
      <c r="J169" t="s">
        <v>194</v>
      </c>
      <c r="K169" s="6">
        <f t="shared" si="2"/>
        <v>3.2383536534763137E-3</v>
      </c>
    </row>
    <row r="170" spans="1:11" x14ac:dyDescent="0.2">
      <c r="A170" t="s">
        <v>190</v>
      </c>
      <c r="B170">
        <v>2018</v>
      </c>
      <c r="C170" t="s">
        <v>195</v>
      </c>
      <c r="D170" t="s">
        <v>195</v>
      </c>
      <c r="E170" s="7">
        <f>(179.5*(130575/194301))/55429.4</f>
        <v>2.1762524552249841E-3</v>
      </c>
      <c r="F170" s="7"/>
      <c r="G170" s="7">
        <f>(179.5*(63726/194301))/55429.4</f>
        <v>1.0621011982513296E-3</v>
      </c>
      <c r="H170" s="7"/>
      <c r="I170" t="s">
        <v>192</v>
      </c>
      <c r="J170" t="s">
        <v>194</v>
      </c>
      <c r="K170" s="6">
        <f t="shared" si="2"/>
        <v>3.2383536534763137E-3</v>
      </c>
    </row>
    <row r="171" spans="1:11" x14ac:dyDescent="0.2">
      <c r="A171" s="9" t="s">
        <v>190</v>
      </c>
      <c r="B171" s="9">
        <v>2019</v>
      </c>
      <c r="C171" s="9" t="s">
        <v>195</v>
      </c>
      <c r="D171" s="9" t="s">
        <v>195</v>
      </c>
      <c r="E171" s="10">
        <f>(179.5*(130575/194301))/55429.4</f>
        <v>2.1762524552249841E-3</v>
      </c>
      <c r="F171" s="10"/>
      <c r="G171" s="10">
        <f>(179.5*(63726/194301))/55429.4</f>
        <v>1.0621011982513296E-3</v>
      </c>
      <c r="H171" s="10"/>
      <c r="I171" s="9" t="s">
        <v>192</v>
      </c>
      <c r="J171" s="9" t="s">
        <v>194</v>
      </c>
      <c r="K171" s="6">
        <f t="shared" si="2"/>
        <v>3.2383536534763137E-3</v>
      </c>
    </row>
    <row r="172" spans="1:11" x14ac:dyDescent="0.2">
      <c r="A172" t="s">
        <v>190</v>
      </c>
      <c r="B172">
        <v>2015</v>
      </c>
      <c r="C172" t="s">
        <v>197</v>
      </c>
      <c r="D172" t="s">
        <v>197</v>
      </c>
      <c r="E172" s="7">
        <f>(224*(120780/186767))/23599.9</f>
        <v>6.1380827355379322E-3</v>
      </c>
      <c r="F172" s="7"/>
      <c r="G172" s="7">
        <f>(224*(65987/186767))/23599.9</f>
        <v>3.3534829066893652E-3</v>
      </c>
      <c r="H172" s="7"/>
      <c r="I172" t="s">
        <v>192</v>
      </c>
      <c r="J172" t="s">
        <v>199</v>
      </c>
      <c r="K172" s="6">
        <f t="shared" si="2"/>
        <v>9.4915656422272978E-3</v>
      </c>
    </row>
    <row r="173" spans="1:11" x14ac:dyDescent="0.2">
      <c r="A173" t="s">
        <v>190</v>
      </c>
      <c r="B173">
        <v>2016</v>
      </c>
      <c r="C173" t="s">
        <v>197</v>
      </c>
      <c r="D173" t="s">
        <v>197</v>
      </c>
      <c r="E173" s="7">
        <f>(250*(120779/(120779+65998)))/22453.2</f>
        <v>7.1999552614086205E-3</v>
      </c>
      <c r="F173" s="7"/>
      <c r="G173" s="7">
        <f>(250*(65998/(120779+65998)))/22453.2</f>
        <v>3.9343151321210319E-3</v>
      </c>
      <c r="H173" s="7"/>
      <c r="I173" t="s">
        <v>192</v>
      </c>
      <c r="J173" t="s">
        <v>200</v>
      </c>
      <c r="K173" s="6">
        <f t="shared" si="2"/>
        <v>1.1134270393529652E-2</v>
      </c>
    </row>
    <row r="174" spans="1:11" x14ac:dyDescent="0.2">
      <c r="A174" t="s">
        <v>190</v>
      </c>
      <c r="B174">
        <v>2017</v>
      </c>
      <c r="C174" t="s">
        <v>197</v>
      </c>
      <c r="D174" t="s">
        <v>197</v>
      </c>
      <c r="E174" s="7">
        <f>(283*$E$1367)/56344.7</f>
        <v>5.022655192058881E-3</v>
      </c>
      <c r="F174" s="7"/>
      <c r="G174" s="7">
        <f>(283*$G$1367)/56344.7</f>
        <v>0</v>
      </c>
      <c r="H174" s="7"/>
      <c r="I174" t="s">
        <v>192</v>
      </c>
      <c r="J174" t="s">
        <v>193</v>
      </c>
      <c r="K174" s="6">
        <f t="shared" si="2"/>
        <v>5.022655192058881E-3</v>
      </c>
    </row>
    <row r="175" spans="1:11" x14ac:dyDescent="0.2">
      <c r="A175" s="8" t="s">
        <v>190</v>
      </c>
      <c r="B175">
        <v>2018</v>
      </c>
      <c r="C175" s="8" t="s">
        <v>190</v>
      </c>
      <c r="D175" t="s">
        <v>197</v>
      </c>
      <c r="E175" s="7">
        <f>(179.5*(130575/194301))/55429.4</f>
        <v>2.1762524552249841E-3</v>
      </c>
      <c r="F175" s="7"/>
      <c r="G175" s="7">
        <f>(179.5*(63726/194301))/55429.4</f>
        <v>1.0621011982513296E-3</v>
      </c>
      <c r="H175" s="7"/>
      <c r="I175" t="s">
        <v>192</v>
      </c>
      <c r="J175" t="s">
        <v>194</v>
      </c>
      <c r="K175" s="6">
        <f t="shared" si="2"/>
        <v>3.2383536534763137E-3</v>
      </c>
    </row>
    <row r="176" spans="1:11" x14ac:dyDescent="0.2">
      <c r="A176" t="s">
        <v>190</v>
      </c>
      <c r="B176">
        <v>2018</v>
      </c>
      <c r="C176" s="8" t="s">
        <v>190</v>
      </c>
      <c r="D176" t="s">
        <v>197</v>
      </c>
      <c r="E176" s="7">
        <f>(179.5*(130575/194301))/55429.4</f>
        <v>2.1762524552249841E-3</v>
      </c>
      <c r="F176" s="7"/>
      <c r="G176" s="7">
        <f>(179.5*(63726/194301))/55429.4</f>
        <v>1.0621011982513296E-3</v>
      </c>
      <c r="H176" s="7"/>
      <c r="I176" t="s">
        <v>192</v>
      </c>
      <c r="J176" t="s">
        <v>194</v>
      </c>
      <c r="K176" s="6">
        <f t="shared" si="2"/>
        <v>3.2383536534763137E-3</v>
      </c>
    </row>
    <row r="177" spans="1:11" x14ac:dyDescent="0.2">
      <c r="A177" t="s">
        <v>190</v>
      </c>
      <c r="B177">
        <v>2018</v>
      </c>
      <c r="C177" t="s">
        <v>197</v>
      </c>
      <c r="D177" t="s">
        <v>197</v>
      </c>
      <c r="E177" s="7">
        <f>(179.5*(130575/194301))/55429.4</f>
        <v>2.1762524552249841E-3</v>
      </c>
      <c r="F177" s="7"/>
      <c r="G177" s="7">
        <f>(179.5*(63726/194301))/55429.4</f>
        <v>1.0621011982513296E-3</v>
      </c>
      <c r="H177" s="7"/>
      <c r="I177" t="s">
        <v>192</v>
      </c>
      <c r="J177" t="s">
        <v>194</v>
      </c>
      <c r="K177" s="6">
        <f t="shared" si="2"/>
        <v>3.2383536534763137E-3</v>
      </c>
    </row>
    <row r="178" spans="1:11" x14ac:dyDescent="0.2">
      <c r="A178" s="9" t="s">
        <v>190</v>
      </c>
      <c r="B178" s="9">
        <v>2019</v>
      </c>
      <c r="C178" s="9" t="s">
        <v>197</v>
      </c>
      <c r="D178" s="9" t="s">
        <v>197</v>
      </c>
      <c r="E178" s="10">
        <f>(179.5*(130575/194301))/55429.4</f>
        <v>2.1762524552249841E-3</v>
      </c>
      <c r="F178" s="10"/>
      <c r="G178" s="10">
        <f>(179.5*(63726/194301))/55429.4</f>
        <v>1.0621011982513296E-3</v>
      </c>
      <c r="H178" s="10"/>
      <c r="I178" s="9" t="s">
        <v>192</v>
      </c>
      <c r="J178" s="9" t="s">
        <v>194</v>
      </c>
      <c r="K178" s="6">
        <f t="shared" si="2"/>
        <v>3.2383536534763137E-3</v>
      </c>
    </row>
    <row r="179" spans="1:11" x14ac:dyDescent="0.2">
      <c r="A179" t="s">
        <v>201</v>
      </c>
      <c r="B179">
        <v>2015</v>
      </c>
      <c r="C179" t="s">
        <v>202</v>
      </c>
      <c r="D179" t="s">
        <v>202</v>
      </c>
      <c r="E179" s="7">
        <f>164560/512864</f>
        <v>0.32086479066575152</v>
      </c>
      <c r="F179" s="7"/>
      <c r="G179" s="7"/>
      <c r="H179" s="7"/>
      <c r="I179" t="s">
        <v>203</v>
      </c>
      <c r="J179" t="s">
        <v>204</v>
      </c>
      <c r="K179" s="6">
        <f t="shared" si="2"/>
        <v>0.32086479066575152</v>
      </c>
    </row>
    <row r="180" spans="1:11" x14ac:dyDescent="0.2">
      <c r="A180" t="s">
        <v>201</v>
      </c>
      <c r="B180">
        <v>2016</v>
      </c>
      <c r="C180" t="s">
        <v>202</v>
      </c>
      <c r="D180" t="s">
        <v>202</v>
      </c>
      <c r="E180" s="7">
        <f>2114771/(3196369+422167+1006445+2114771+346929+914797+238433)</f>
        <v>0.2566497380857633</v>
      </c>
      <c r="F180" s="7"/>
      <c r="G180" s="7"/>
      <c r="H180" s="7"/>
      <c r="I180" t="s">
        <v>203</v>
      </c>
      <c r="J180" t="s">
        <v>205</v>
      </c>
      <c r="K180" s="6">
        <f t="shared" si="2"/>
        <v>0.2566497380857633</v>
      </c>
    </row>
    <row r="181" spans="1:11" x14ac:dyDescent="0.2">
      <c r="A181" t="s">
        <v>201</v>
      </c>
      <c r="B181">
        <v>2017</v>
      </c>
      <c r="C181" t="s">
        <v>202</v>
      </c>
      <c r="D181" t="s">
        <v>202</v>
      </c>
      <c r="E181" s="12">
        <f>120004/373343</f>
        <v>0.32143096294828083</v>
      </c>
      <c r="F181" s="7"/>
      <c r="G181" s="7"/>
      <c r="H181" s="7"/>
      <c r="I181" t="s">
        <v>203</v>
      </c>
      <c r="J181" t="s">
        <v>205</v>
      </c>
      <c r="K181" s="6">
        <f t="shared" si="2"/>
        <v>0.32143096294828083</v>
      </c>
    </row>
    <row r="182" spans="1:11" x14ac:dyDescent="0.2">
      <c r="A182" s="8" t="s">
        <v>201</v>
      </c>
      <c r="B182">
        <v>2018</v>
      </c>
      <c r="C182" s="8" t="s">
        <v>201</v>
      </c>
      <c r="D182" t="s">
        <v>202</v>
      </c>
      <c r="E182" s="12">
        <f>118422/256938</f>
        <v>0.4608971814211989</v>
      </c>
      <c r="F182" s="7"/>
      <c r="G182" s="7"/>
      <c r="H182" s="7"/>
      <c r="I182" t="s">
        <v>203</v>
      </c>
      <c r="J182" t="s">
        <v>206</v>
      </c>
      <c r="K182" s="6">
        <f t="shared" si="2"/>
        <v>0.4608971814211989</v>
      </c>
    </row>
    <row r="183" spans="1:11" x14ac:dyDescent="0.2">
      <c r="A183" t="s">
        <v>201</v>
      </c>
      <c r="B183">
        <v>2018</v>
      </c>
      <c r="C183" s="8" t="s">
        <v>201</v>
      </c>
      <c r="D183" t="s">
        <v>202</v>
      </c>
      <c r="E183" s="12">
        <f>118422/256938</f>
        <v>0.4608971814211989</v>
      </c>
      <c r="F183" s="7"/>
      <c r="G183" s="7"/>
      <c r="H183" s="7"/>
      <c r="I183" t="s">
        <v>203</v>
      </c>
      <c r="J183" t="s">
        <v>206</v>
      </c>
      <c r="K183" s="6">
        <f t="shared" si="2"/>
        <v>0.4608971814211989</v>
      </c>
    </row>
    <row r="184" spans="1:11" x14ac:dyDescent="0.2">
      <c r="A184" t="s">
        <v>201</v>
      </c>
      <c r="B184">
        <v>2018</v>
      </c>
      <c r="C184" t="s">
        <v>202</v>
      </c>
      <c r="D184" t="s">
        <v>202</v>
      </c>
      <c r="E184" s="12">
        <f>118422/256938</f>
        <v>0.4608971814211989</v>
      </c>
      <c r="F184" s="7"/>
      <c r="G184" s="7"/>
      <c r="H184" s="7"/>
      <c r="I184" t="s">
        <v>203</v>
      </c>
      <c r="J184" t="s">
        <v>206</v>
      </c>
      <c r="K184" s="6">
        <f t="shared" si="2"/>
        <v>0.4608971814211989</v>
      </c>
    </row>
    <row r="185" spans="1:11" x14ac:dyDescent="0.2">
      <c r="A185" s="9" t="s">
        <v>201</v>
      </c>
      <c r="B185" s="9">
        <v>2019</v>
      </c>
      <c r="C185" s="9" t="s">
        <v>202</v>
      </c>
      <c r="D185" s="9" t="s">
        <v>202</v>
      </c>
      <c r="E185" s="13">
        <f>118422/256938</f>
        <v>0.4608971814211989</v>
      </c>
      <c r="F185" s="10"/>
      <c r="G185" s="10"/>
      <c r="H185" s="10"/>
      <c r="I185" s="9" t="s">
        <v>203</v>
      </c>
      <c r="J185" s="9" t="s">
        <v>206</v>
      </c>
      <c r="K185" s="6">
        <f t="shared" si="2"/>
        <v>0.4608971814211989</v>
      </c>
    </row>
    <row r="186" spans="1:11" x14ac:dyDescent="0.2">
      <c r="A186" t="s">
        <v>207</v>
      </c>
      <c r="B186">
        <v>2012</v>
      </c>
      <c r="C186" t="s">
        <v>208</v>
      </c>
      <c r="D186" t="s">
        <v>209</v>
      </c>
      <c r="E186" s="5">
        <f>872.5/(10211.1+29.2)</f>
        <v>8.520258195560676E-2</v>
      </c>
      <c r="I186" t="s">
        <v>210</v>
      </c>
      <c r="J186" t="s">
        <v>211</v>
      </c>
      <c r="K186" s="6">
        <f t="shared" si="2"/>
        <v>8.520258195560676E-2</v>
      </c>
    </row>
    <row r="187" spans="1:11" x14ac:dyDescent="0.2">
      <c r="A187" s="8" t="s">
        <v>207</v>
      </c>
      <c r="B187">
        <v>2018</v>
      </c>
      <c r="C187" s="8" t="s">
        <v>207</v>
      </c>
      <c r="D187" t="s">
        <v>209</v>
      </c>
      <c r="E187" s="11">
        <f>760.1/10020.1</f>
        <v>7.5857526371992293E-2</v>
      </c>
      <c r="I187" t="s">
        <v>212</v>
      </c>
      <c r="J187" t="s">
        <v>213</v>
      </c>
      <c r="K187" s="6">
        <f t="shared" si="2"/>
        <v>7.5857526371992293E-2</v>
      </c>
    </row>
    <row r="188" spans="1:11" x14ac:dyDescent="0.2">
      <c r="A188" t="s">
        <v>207</v>
      </c>
      <c r="B188">
        <v>2018</v>
      </c>
      <c r="C188" t="s">
        <v>208</v>
      </c>
      <c r="D188" t="s">
        <v>209</v>
      </c>
      <c r="E188" s="12">
        <f>584/10186.4</f>
        <v>5.7331343752454252E-2</v>
      </c>
      <c r="F188" s="7"/>
      <c r="G188" s="7"/>
      <c r="H188" s="7"/>
      <c r="I188" t="s">
        <v>212</v>
      </c>
      <c r="J188" t="s">
        <v>214</v>
      </c>
      <c r="K188" s="6">
        <f t="shared" si="2"/>
        <v>5.7331343752454252E-2</v>
      </c>
    </row>
    <row r="189" spans="1:11" x14ac:dyDescent="0.2">
      <c r="A189" t="s">
        <v>207</v>
      </c>
      <c r="B189">
        <v>2010</v>
      </c>
      <c r="C189" t="s">
        <v>215</v>
      </c>
      <c r="D189" t="s">
        <v>215</v>
      </c>
      <c r="E189" s="5">
        <f>806.5/(6181.8+60.7)</f>
        <v>0.129195034040849</v>
      </c>
      <c r="I189" t="s">
        <v>210</v>
      </c>
      <c r="J189" t="s">
        <v>216</v>
      </c>
      <c r="K189" s="6">
        <f t="shared" si="2"/>
        <v>0.129195034040849</v>
      </c>
    </row>
    <row r="190" spans="1:11" x14ac:dyDescent="0.2">
      <c r="A190" t="s">
        <v>207</v>
      </c>
      <c r="B190">
        <v>2011</v>
      </c>
      <c r="C190" t="s">
        <v>215</v>
      </c>
      <c r="D190" t="s">
        <v>215</v>
      </c>
      <c r="E190" s="5">
        <f>1031.3/(8555.8+27.3)</f>
        <v>0.12015472265265464</v>
      </c>
      <c r="I190" t="s">
        <v>210</v>
      </c>
      <c r="J190" t="s">
        <v>217</v>
      </c>
      <c r="K190" s="6">
        <f t="shared" si="2"/>
        <v>0.12015472265265464</v>
      </c>
    </row>
    <row r="191" spans="1:11" x14ac:dyDescent="0.2">
      <c r="A191" t="s">
        <v>207</v>
      </c>
      <c r="B191">
        <v>2012</v>
      </c>
      <c r="C191" t="s">
        <v>215</v>
      </c>
      <c r="D191" t="s">
        <v>215</v>
      </c>
      <c r="E191" s="5">
        <f>872.5/(10211.1+29.2)</f>
        <v>8.520258195560676E-2</v>
      </c>
      <c r="I191" t="s">
        <v>210</v>
      </c>
      <c r="J191" t="s">
        <v>211</v>
      </c>
      <c r="K191" s="6">
        <f t="shared" si="2"/>
        <v>8.520258195560676E-2</v>
      </c>
    </row>
    <row r="192" spans="1:11" x14ac:dyDescent="0.2">
      <c r="A192" t="s">
        <v>207</v>
      </c>
      <c r="B192">
        <v>2013</v>
      </c>
      <c r="C192" t="s">
        <v>208</v>
      </c>
      <c r="D192" t="s">
        <v>215</v>
      </c>
      <c r="E192" s="5">
        <f>695.7/(11212+28.3)</f>
        <v>6.1893365835431445E-2</v>
      </c>
      <c r="I192" t="s">
        <v>212</v>
      </c>
      <c r="J192" t="s">
        <v>218</v>
      </c>
      <c r="K192" s="6">
        <f t="shared" si="2"/>
        <v>6.1893365835431445E-2</v>
      </c>
    </row>
    <row r="193" spans="1:11" x14ac:dyDescent="0.2">
      <c r="A193" t="s">
        <v>207</v>
      </c>
      <c r="B193">
        <v>2014</v>
      </c>
      <c r="C193" t="s">
        <v>215</v>
      </c>
      <c r="D193" t="s">
        <v>215</v>
      </c>
      <c r="E193" s="5">
        <f>717.3/(10608.2+29.1)</f>
        <v>6.7432525170861013E-2</v>
      </c>
      <c r="I193" t="s">
        <v>212</v>
      </c>
      <c r="J193" t="s">
        <v>219</v>
      </c>
      <c r="K193" s="6">
        <f t="shared" si="2"/>
        <v>6.7432525170861013E-2</v>
      </c>
    </row>
    <row r="194" spans="1:11" x14ac:dyDescent="0.2">
      <c r="A194" t="s">
        <v>207</v>
      </c>
      <c r="B194">
        <v>2014</v>
      </c>
      <c r="C194" t="s">
        <v>208</v>
      </c>
      <c r="D194" t="s">
        <v>215</v>
      </c>
      <c r="E194" s="5">
        <f>717.3/(10608.2+29.1)</f>
        <v>6.7432525170861013E-2</v>
      </c>
      <c r="I194" t="s">
        <v>212</v>
      </c>
      <c r="J194" t="s">
        <v>219</v>
      </c>
      <c r="K194" s="6">
        <f t="shared" ref="K194:K257" si="3">SUM(E194:H194)</f>
        <v>6.7432525170861013E-2</v>
      </c>
    </row>
    <row r="195" spans="1:11" x14ac:dyDescent="0.2">
      <c r="A195" t="s">
        <v>207</v>
      </c>
      <c r="B195">
        <v>2015</v>
      </c>
      <c r="C195" t="s">
        <v>215</v>
      </c>
      <c r="D195" t="s">
        <v>215</v>
      </c>
      <c r="E195" s="5">
        <f>615.2/(8662.5+21.3)</f>
        <v>7.0844561136829506E-2</v>
      </c>
      <c r="I195" t="s">
        <v>212</v>
      </c>
      <c r="J195" t="s">
        <v>220</v>
      </c>
      <c r="K195" s="6">
        <f t="shared" si="3"/>
        <v>7.0844561136829506E-2</v>
      </c>
    </row>
    <row r="196" spans="1:11" x14ac:dyDescent="0.2">
      <c r="A196" t="s">
        <v>207</v>
      </c>
      <c r="B196">
        <v>2015</v>
      </c>
      <c r="C196" t="s">
        <v>208</v>
      </c>
      <c r="D196" t="s">
        <v>215</v>
      </c>
      <c r="E196" s="5">
        <f>615.2/(8662.5+21.3)</f>
        <v>7.0844561136829506E-2</v>
      </c>
      <c r="I196" t="s">
        <v>212</v>
      </c>
      <c r="J196" t="s">
        <v>220</v>
      </c>
      <c r="K196" s="6">
        <f t="shared" si="3"/>
        <v>7.0844561136829506E-2</v>
      </c>
    </row>
    <row r="197" spans="1:11" x14ac:dyDescent="0.2">
      <c r="A197" t="s">
        <v>207</v>
      </c>
      <c r="B197">
        <v>2016</v>
      </c>
      <c r="C197" t="s">
        <v>215</v>
      </c>
      <c r="D197" t="s">
        <v>215</v>
      </c>
      <c r="E197" s="5">
        <f>707.9/(8371.3+15.7)</f>
        <v>8.4404435435793485E-2</v>
      </c>
      <c r="I197" t="s">
        <v>212</v>
      </c>
      <c r="J197" t="s">
        <v>221</v>
      </c>
      <c r="K197" s="6">
        <f t="shared" si="3"/>
        <v>8.4404435435793485E-2</v>
      </c>
    </row>
    <row r="198" spans="1:11" x14ac:dyDescent="0.2">
      <c r="A198" t="s">
        <v>207</v>
      </c>
      <c r="B198">
        <v>2017</v>
      </c>
      <c r="C198" t="s">
        <v>215</v>
      </c>
      <c r="D198" t="s">
        <v>215</v>
      </c>
      <c r="E198" s="11">
        <f>760.1/10020.1</f>
        <v>7.5857526371992293E-2</v>
      </c>
      <c r="I198" t="s">
        <v>212</v>
      </c>
      <c r="J198" t="s">
        <v>213</v>
      </c>
      <c r="K198" s="6">
        <f t="shared" si="3"/>
        <v>7.5857526371992293E-2</v>
      </c>
    </row>
    <row r="199" spans="1:11" x14ac:dyDescent="0.2">
      <c r="A199" s="8" t="s">
        <v>207</v>
      </c>
      <c r="B199">
        <v>2018</v>
      </c>
      <c r="C199" s="8" t="s">
        <v>207</v>
      </c>
      <c r="D199" t="s">
        <v>215</v>
      </c>
      <c r="E199" s="12">
        <f>584/10186.4</f>
        <v>5.7331343752454252E-2</v>
      </c>
      <c r="F199" s="7"/>
      <c r="G199" s="7"/>
      <c r="H199" s="7"/>
      <c r="I199" t="s">
        <v>212</v>
      </c>
      <c r="J199" t="s">
        <v>214</v>
      </c>
      <c r="K199" s="6">
        <f t="shared" si="3"/>
        <v>5.7331343752454252E-2</v>
      </c>
    </row>
    <row r="200" spans="1:11" x14ac:dyDescent="0.2">
      <c r="A200" t="s">
        <v>207</v>
      </c>
      <c r="B200">
        <v>2018</v>
      </c>
      <c r="C200" s="8" t="s">
        <v>207</v>
      </c>
      <c r="D200" t="s">
        <v>215</v>
      </c>
      <c r="E200" s="12">
        <f>584/10186.4</f>
        <v>5.7331343752454252E-2</v>
      </c>
      <c r="F200" s="7"/>
      <c r="G200" s="7"/>
      <c r="H200" s="7"/>
      <c r="I200" t="s">
        <v>212</v>
      </c>
      <c r="J200" t="s">
        <v>214</v>
      </c>
      <c r="K200" s="6">
        <f t="shared" si="3"/>
        <v>5.7331343752454252E-2</v>
      </c>
    </row>
    <row r="201" spans="1:11" x14ac:dyDescent="0.2">
      <c r="A201" t="s">
        <v>207</v>
      </c>
      <c r="B201">
        <v>2018</v>
      </c>
      <c r="C201" t="s">
        <v>215</v>
      </c>
      <c r="D201" t="s">
        <v>215</v>
      </c>
      <c r="E201" s="12">
        <f>584/10186.4</f>
        <v>5.7331343752454252E-2</v>
      </c>
      <c r="F201" s="7"/>
      <c r="G201" s="7"/>
      <c r="H201" s="7"/>
      <c r="I201" t="s">
        <v>212</v>
      </c>
      <c r="J201" t="s">
        <v>214</v>
      </c>
      <c r="K201" s="6">
        <f t="shared" si="3"/>
        <v>5.7331343752454252E-2</v>
      </c>
    </row>
    <row r="202" spans="1:11" x14ac:dyDescent="0.2">
      <c r="A202" s="9" t="s">
        <v>207</v>
      </c>
      <c r="B202" s="9">
        <v>2019</v>
      </c>
      <c r="C202" s="9" t="s">
        <v>215</v>
      </c>
      <c r="D202" s="9" t="s">
        <v>215</v>
      </c>
      <c r="E202" s="13">
        <f>584/10186.4</f>
        <v>5.7331343752454252E-2</v>
      </c>
      <c r="F202" s="10"/>
      <c r="G202" s="10"/>
      <c r="H202" s="10"/>
      <c r="I202" s="9" t="s">
        <v>212</v>
      </c>
      <c r="J202" s="9" t="s">
        <v>214</v>
      </c>
      <c r="K202" s="6">
        <f t="shared" si="3"/>
        <v>5.7331343752454252E-2</v>
      </c>
    </row>
    <row r="203" spans="1:11" x14ac:dyDescent="0.2">
      <c r="A203" t="s">
        <v>207</v>
      </c>
      <c r="B203">
        <v>2014</v>
      </c>
      <c r="C203" t="s">
        <v>222</v>
      </c>
      <c r="D203" t="s">
        <v>222</v>
      </c>
      <c r="E203" s="7">
        <v>1</v>
      </c>
      <c r="F203" s="7"/>
      <c r="G203" s="7"/>
      <c r="H203" s="7"/>
      <c r="I203" t="s">
        <v>223</v>
      </c>
      <c r="J203" t="s">
        <v>219</v>
      </c>
      <c r="K203" s="6">
        <f t="shared" si="3"/>
        <v>1</v>
      </c>
    </row>
    <row r="204" spans="1:11" x14ac:dyDescent="0.2">
      <c r="A204" t="s">
        <v>207</v>
      </c>
      <c r="B204">
        <v>2014</v>
      </c>
      <c r="C204" t="s">
        <v>208</v>
      </c>
      <c r="D204" t="s">
        <v>222</v>
      </c>
      <c r="E204" s="5">
        <v>1</v>
      </c>
      <c r="I204" t="s">
        <v>223</v>
      </c>
      <c r="J204" t="s">
        <v>219</v>
      </c>
      <c r="K204" s="6">
        <f t="shared" si="3"/>
        <v>1</v>
      </c>
    </row>
    <row r="205" spans="1:11" x14ac:dyDescent="0.2">
      <c r="A205" t="s">
        <v>207</v>
      </c>
      <c r="B205">
        <v>2015</v>
      </c>
      <c r="C205" t="s">
        <v>222</v>
      </c>
      <c r="D205" t="s">
        <v>222</v>
      </c>
      <c r="E205" s="5">
        <v>1</v>
      </c>
      <c r="I205" t="s">
        <v>223</v>
      </c>
      <c r="J205" t="s">
        <v>221</v>
      </c>
      <c r="K205" s="6">
        <f t="shared" si="3"/>
        <v>1</v>
      </c>
    </row>
    <row r="206" spans="1:11" x14ac:dyDescent="0.2">
      <c r="A206" t="s">
        <v>207</v>
      </c>
      <c r="B206">
        <v>2016</v>
      </c>
      <c r="C206" t="s">
        <v>222</v>
      </c>
      <c r="D206" t="s">
        <v>222</v>
      </c>
      <c r="E206" s="5">
        <v>1</v>
      </c>
      <c r="I206" t="s">
        <v>223</v>
      </c>
      <c r="J206" t="s">
        <v>221</v>
      </c>
      <c r="K206" s="6">
        <f t="shared" si="3"/>
        <v>1</v>
      </c>
    </row>
    <row r="207" spans="1:11" x14ac:dyDescent="0.2">
      <c r="A207" t="s">
        <v>207</v>
      </c>
      <c r="B207">
        <v>2017</v>
      </c>
      <c r="C207" t="s">
        <v>224</v>
      </c>
      <c r="D207" t="s">
        <v>224</v>
      </c>
      <c r="E207" s="5">
        <v>1</v>
      </c>
      <c r="I207" t="s">
        <v>225</v>
      </c>
      <c r="J207" t="s">
        <v>226</v>
      </c>
      <c r="K207" s="6">
        <f t="shared" si="3"/>
        <v>1</v>
      </c>
    </row>
    <row r="208" spans="1:11" x14ac:dyDescent="0.2">
      <c r="A208" s="8" t="s">
        <v>207</v>
      </c>
      <c r="B208">
        <v>2018</v>
      </c>
      <c r="C208" s="8" t="s">
        <v>207</v>
      </c>
      <c r="D208" t="s">
        <v>224</v>
      </c>
      <c r="E208" s="5">
        <v>1</v>
      </c>
      <c r="I208" t="s">
        <v>225</v>
      </c>
      <c r="J208" t="s">
        <v>226</v>
      </c>
      <c r="K208" s="6">
        <f t="shared" si="3"/>
        <v>1</v>
      </c>
    </row>
    <row r="209" spans="1:13" x14ac:dyDescent="0.2">
      <c r="A209" t="s">
        <v>207</v>
      </c>
      <c r="B209">
        <v>2018</v>
      </c>
      <c r="C209" s="8" t="s">
        <v>207</v>
      </c>
      <c r="D209" t="s">
        <v>224</v>
      </c>
      <c r="E209" s="7">
        <v>1</v>
      </c>
      <c r="I209" t="s">
        <v>225</v>
      </c>
      <c r="J209" t="s">
        <v>226</v>
      </c>
      <c r="K209" s="6">
        <f t="shared" si="3"/>
        <v>1</v>
      </c>
    </row>
    <row r="210" spans="1:13" x14ac:dyDescent="0.2">
      <c r="A210" t="s">
        <v>207</v>
      </c>
      <c r="B210">
        <v>2018</v>
      </c>
      <c r="C210" t="s">
        <v>224</v>
      </c>
      <c r="D210" t="s">
        <v>224</v>
      </c>
      <c r="E210" s="7">
        <v>1</v>
      </c>
      <c r="I210" t="s">
        <v>225</v>
      </c>
      <c r="J210" t="s">
        <v>226</v>
      </c>
      <c r="K210" s="6">
        <f t="shared" si="3"/>
        <v>1</v>
      </c>
    </row>
    <row r="211" spans="1:13" x14ac:dyDescent="0.2">
      <c r="A211" t="s">
        <v>207</v>
      </c>
      <c r="B211">
        <v>2018</v>
      </c>
      <c r="C211" t="s">
        <v>224</v>
      </c>
      <c r="D211" t="s">
        <v>224</v>
      </c>
      <c r="E211" s="7">
        <v>1</v>
      </c>
      <c r="I211" t="s">
        <v>225</v>
      </c>
      <c r="J211" t="s">
        <v>226</v>
      </c>
      <c r="K211" s="6">
        <f t="shared" si="3"/>
        <v>1</v>
      </c>
    </row>
    <row r="212" spans="1:13" x14ac:dyDescent="0.2">
      <c r="A212" t="s">
        <v>207</v>
      </c>
      <c r="B212">
        <v>2019</v>
      </c>
      <c r="C212" t="s">
        <v>224</v>
      </c>
      <c r="D212" t="s">
        <v>224</v>
      </c>
      <c r="E212" s="5">
        <v>1</v>
      </c>
      <c r="I212" t="s">
        <v>225</v>
      </c>
      <c r="J212" t="s">
        <v>227</v>
      </c>
      <c r="K212" s="6">
        <f t="shared" si="3"/>
        <v>1</v>
      </c>
    </row>
    <row r="213" spans="1:13" x14ac:dyDescent="0.2">
      <c r="A213" t="s">
        <v>207</v>
      </c>
      <c r="B213">
        <v>2012</v>
      </c>
      <c r="C213" t="s">
        <v>207</v>
      </c>
      <c r="D213" t="s">
        <v>228</v>
      </c>
      <c r="E213" s="11">
        <v>1</v>
      </c>
      <c r="I213" s="5" t="s">
        <v>229</v>
      </c>
      <c r="J213" t="s">
        <v>227</v>
      </c>
      <c r="K213" s="6">
        <f t="shared" si="3"/>
        <v>1</v>
      </c>
    </row>
    <row r="214" spans="1:13" x14ac:dyDescent="0.2">
      <c r="A214" t="s">
        <v>207</v>
      </c>
      <c r="B214">
        <v>2012</v>
      </c>
      <c r="C214" t="s">
        <v>207</v>
      </c>
      <c r="D214" t="s">
        <v>230</v>
      </c>
      <c r="E214" s="11">
        <v>1</v>
      </c>
      <c r="I214" s="5" t="s">
        <v>231</v>
      </c>
      <c r="J214" t="s">
        <v>227</v>
      </c>
      <c r="K214" s="6">
        <f t="shared" si="3"/>
        <v>1</v>
      </c>
    </row>
    <row r="215" spans="1:13" x14ac:dyDescent="0.2">
      <c r="A215" s="8" t="s">
        <v>232</v>
      </c>
      <c r="B215">
        <v>2016</v>
      </c>
      <c r="C215" s="8" t="s">
        <v>232</v>
      </c>
      <c r="D215" t="s">
        <v>233</v>
      </c>
      <c r="H215" s="5">
        <v>1</v>
      </c>
      <c r="I215" t="s">
        <v>234</v>
      </c>
      <c r="J215" t="s">
        <v>235</v>
      </c>
      <c r="K215" s="6">
        <f t="shared" si="3"/>
        <v>1</v>
      </c>
    </row>
    <row r="216" spans="1:13" x14ac:dyDescent="0.2">
      <c r="A216" t="s">
        <v>232</v>
      </c>
      <c r="B216">
        <v>2016</v>
      </c>
      <c r="C216" t="s">
        <v>236</v>
      </c>
      <c r="D216" t="s">
        <v>237</v>
      </c>
      <c r="H216" s="5">
        <v>1</v>
      </c>
      <c r="I216" t="s">
        <v>234</v>
      </c>
      <c r="J216" t="s">
        <v>235</v>
      </c>
      <c r="K216" s="6">
        <f t="shared" si="3"/>
        <v>1</v>
      </c>
    </row>
    <row r="217" spans="1:13" x14ac:dyDescent="0.2">
      <c r="A217" t="s">
        <v>232</v>
      </c>
      <c r="B217">
        <v>2016</v>
      </c>
      <c r="C217" t="s">
        <v>237</v>
      </c>
      <c r="D217" t="s">
        <v>237</v>
      </c>
      <c r="E217" s="7"/>
      <c r="F217" s="7"/>
      <c r="G217" s="7"/>
      <c r="H217" s="7">
        <v>1</v>
      </c>
      <c r="I217" t="s">
        <v>234</v>
      </c>
      <c r="J217" t="s">
        <v>235</v>
      </c>
      <c r="K217" s="6">
        <f t="shared" si="3"/>
        <v>1</v>
      </c>
    </row>
    <row r="218" spans="1:13" x14ac:dyDescent="0.2">
      <c r="A218" t="s">
        <v>232</v>
      </c>
      <c r="B218">
        <v>2017</v>
      </c>
      <c r="C218" t="s">
        <v>237</v>
      </c>
      <c r="D218" t="s">
        <v>237</v>
      </c>
      <c r="E218" s="7"/>
      <c r="F218" s="7"/>
      <c r="G218" s="7"/>
      <c r="H218" s="7">
        <f>5156412278850/(5156412278850+3800346707438)</f>
        <v>0.5757006844489182</v>
      </c>
      <c r="I218" t="s">
        <v>238</v>
      </c>
      <c r="J218" t="s">
        <v>239</v>
      </c>
      <c r="K218" s="6">
        <f t="shared" si="3"/>
        <v>0.5757006844489182</v>
      </c>
    </row>
    <row r="219" spans="1:13" x14ac:dyDescent="0.2">
      <c r="A219" s="8" t="s">
        <v>232</v>
      </c>
      <c r="B219">
        <v>2018</v>
      </c>
      <c r="C219" s="8" t="s">
        <v>232</v>
      </c>
      <c r="D219" t="s">
        <v>237</v>
      </c>
      <c r="E219" s="7"/>
      <c r="F219" s="7"/>
      <c r="G219" s="7"/>
      <c r="H219" s="7">
        <v>0</v>
      </c>
      <c r="I219" t="s">
        <v>240</v>
      </c>
      <c r="J219" t="s">
        <v>239</v>
      </c>
      <c r="K219" s="6">
        <f t="shared" si="3"/>
        <v>0</v>
      </c>
      <c r="M219" t="s">
        <v>69</v>
      </c>
    </row>
    <row r="220" spans="1:13" x14ac:dyDescent="0.2">
      <c r="A220" s="8" t="s">
        <v>232</v>
      </c>
      <c r="B220" s="8">
        <v>2018</v>
      </c>
      <c r="C220" s="8" t="s">
        <v>232</v>
      </c>
      <c r="D220" s="8" t="s">
        <v>237</v>
      </c>
      <c r="E220" s="8"/>
      <c r="F220" s="8"/>
      <c r="G220" s="8"/>
      <c r="H220" s="7">
        <v>0</v>
      </c>
      <c r="I220" t="s">
        <v>240</v>
      </c>
      <c r="K220" s="6">
        <f t="shared" si="3"/>
        <v>0</v>
      </c>
      <c r="M220" t="s">
        <v>69</v>
      </c>
    </row>
    <row r="221" spans="1:13" x14ac:dyDescent="0.2">
      <c r="A221" s="8" t="s">
        <v>232</v>
      </c>
      <c r="B221" s="8">
        <v>2019</v>
      </c>
      <c r="C221" s="8" t="s">
        <v>237</v>
      </c>
      <c r="D221" s="8" t="s">
        <v>237</v>
      </c>
      <c r="E221" s="8"/>
      <c r="F221" s="8"/>
      <c r="G221" s="8"/>
      <c r="H221" s="7">
        <v>0</v>
      </c>
      <c r="I221" t="s">
        <v>240</v>
      </c>
      <c r="K221" s="6">
        <f t="shared" si="3"/>
        <v>0</v>
      </c>
      <c r="M221" t="s">
        <v>69</v>
      </c>
    </row>
    <row r="222" spans="1:13" x14ac:dyDescent="0.2">
      <c r="A222" s="8" t="s">
        <v>232</v>
      </c>
      <c r="B222">
        <v>2016</v>
      </c>
      <c r="C222" s="8" t="s">
        <v>232</v>
      </c>
      <c r="D222" t="s">
        <v>241</v>
      </c>
      <c r="E222" s="7"/>
      <c r="F222" s="7"/>
      <c r="G222" s="7"/>
      <c r="H222" s="7">
        <v>1</v>
      </c>
      <c r="I222" t="s">
        <v>234</v>
      </c>
      <c r="J222" t="s">
        <v>235</v>
      </c>
      <c r="K222" s="6">
        <f t="shared" si="3"/>
        <v>1</v>
      </c>
    </row>
    <row r="223" spans="1:13" x14ac:dyDescent="0.2">
      <c r="A223" t="s">
        <v>242</v>
      </c>
      <c r="B223">
        <v>2014</v>
      </c>
      <c r="C223" t="s">
        <v>243</v>
      </c>
      <c r="D223" t="s">
        <v>244</v>
      </c>
      <c r="E223" s="7" t="s">
        <v>137</v>
      </c>
      <c r="F223" s="7" t="s">
        <v>137</v>
      </c>
      <c r="G223" s="7" t="s">
        <v>137</v>
      </c>
      <c r="H223" s="7" t="s">
        <v>137</v>
      </c>
      <c r="K223" s="6">
        <f t="shared" si="3"/>
        <v>0</v>
      </c>
    </row>
    <row r="224" spans="1:13" x14ac:dyDescent="0.2">
      <c r="A224" t="s">
        <v>242</v>
      </c>
      <c r="B224">
        <v>2011</v>
      </c>
      <c r="C224" t="s">
        <v>243</v>
      </c>
      <c r="D224" t="s">
        <v>245</v>
      </c>
      <c r="E224" s="7" t="s">
        <v>137</v>
      </c>
      <c r="F224" s="7" t="s">
        <v>137</v>
      </c>
      <c r="G224" s="7" t="s">
        <v>137</v>
      </c>
      <c r="H224" s="7" t="s">
        <v>137</v>
      </c>
      <c r="K224" s="6">
        <f t="shared" si="3"/>
        <v>0</v>
      </c>
    </row>
    <row r="225" spans="1:11" x14ac:dyDescent="0.2">
      <c r="A225" t="s">
        <v>242</v>
      </c>
      <c r="B225">
        <v>2014</v>
      </c>
      <c r="C225" t="s">
        <v>243</v>
      </c>
      <c r="D225" t="s">
        <v>245</v>
      </c>
      <c r="E225" s="7" t="s">
        <v>137</v>
      </c>
      <c r="F225" s="7" t="s">
        <v>137</v>
      </c>
      <c r="G225" s="7" t="s">
        <v>137</v>
      </c>
      <c r="H225" s="7" t="s">
        <v>137</v>
      </c>
      <c r="K225" s="6">
        <f t="shared" si="3"/>
        <v>0</v>
      </c>
    </row>
    <row r="226" spans="1:11" x14ac:dyDescent="0.2">
      <c r="A226" t="s">
        <v>242</v>
      </c>
      <c r="B226">
        <v>2015</v>
      </c>
      <c r="C226" t="s">
        <v>243</v>
      </c>
      <c r="D226" t="s">
        <v>245</v>
      </c>
      <c r="E226" s="7" t="s">
        <v>137</v>
      </c>
      <c r="F226" s="7" t="s">
        <v>137</v>
      </c>
      <c r="G226" s="7" t="s">
        <v>137</v>
      </c>
      <c r="H226" s="7" t="s">
        <v>137</v>
      </c>
      <c r="K226" s="6">
        <f t="shared" si="3"/>
        <v>0</v>
      </c>
    </row>
    <row r="227" spans="1:11" x14ac:dyDescent="0.2">
      <c r="A227" t="s">
        <v>242</v>
      </c>
      <c r="B227">
        <v>2016</v>
      </c>
      <c r="C227" t="s">
        <v>245</v>
      </c>
      <c r="D227" t="s">
        <v>245</v>
      </c>
      <c r="E227" s="7" t="s">
        <v>137</v>
      </c>
      <c r="F227" s="7" t="s">
        <v>137</v>
      </c>
      <c r="G227" s="7" t="s">
        <v>137</v>
      </c>
      <c r="H227" s="7" t="s">
        <v>137</v>
      </c>
      <c r="K227" s="6">
        <f t="shared" si="3"/>
        <v>0</v>
      </c>
    </row>
    <row r="228" spans="1:11" x14ac:dyDescent="0.2">
      <c r="A228" t="s">
        <v>242</v>
      </c>
      <c r="B228">
        <v>2016</v>
      </c>
      <c r="C228" t="s">
        <v>246</v>
      </c>
      <c r="D228" t="s">
        <v>246</v>
      </c>
      <c r="E228" s="7" t="s">
        <v>137</v>
      </c>
      <c r="F228" s="7" t="s">
        <v>137</v>
      </c>
      <c r="G228" s="7" t="s">
        <v>137</v>
      </c>
      <c r="H228" s="7" t="s">
        <v>137</v>
      </c>
      <c r="K228" s="6">
        <f t="shared" si="3"/>
        <v>0</v>
      </c>
    </row>
    <row r="229" spans="1:11" x14ac:dyDescent="0.2">
      <c r="A229" t="s">
        <v>242</v>
      </c>
      <c r="B229">
        <v>2011</v>
      </c>
      <c r="C229" t="s">
        <v>243</v>
      </c>
      <c r="D229" t="s">
        <v>243</v>
      </c>
      <c r="E229" s="7" t="s">
        <v>137</v>
      </c>
      <c r="F229" s="7" t="s">
        <v>137</v>
      </c>
      <c r="G229" s="7" t="s">
        <v>137</v>
      </c>
      <c r="H229" s="7" t="s">
        <v>137</v>
      </c>
      <c r="K229" s="6">
        <f t="shared" si="3"/>
        <v>0</v>
      </c>
    </row>
    <row r="230" spans="1:11" x14ac:dyDescent="0.2">
      <c r="A230" t="s">
        <v>242</v>
      </c>
      <c r="B230">
        <v>2013</v>
      </c>
      <c r="C230" t="s">
        <v>243</v>
      </c>
      <c r="D230" t="s">
        <v>243</v>
      </c>
      <c r="E230" s="7" t="s">
        <v>137</v>
      </c>
      <c r="F230" s="7" t="s">
        <v>137</v>
      </c>
      <c r="G230" s="7" t="s">
        <v>137</v>
      </c>
      <c r="H230" s="7" t="s">
        <v>137</v>
      </c>
      <c r="K230" s="6">
        <f t="shared" si="3"/>
        <v>0</v>
      </c>
    </row>
    <row r="231" spans="1:11" x14ac:dyDescent="0.2">
      <c r="A231" t="s">
        <v>242</v>
      </c>
      <c r="B231">
        <v>2015</v>
      </c>
      <c r="C231" t="s">
        <v>243</v>
      </c>
      <c r="D231" t="s">
        <v>243</v>
      </c>
      <c r="E231" s="7" t="s">
        <v>137</v>
      </c>
      <c r="F231" s="7" t="s">
        <v>137</v>
      </c>
      <c r="G231" s="7" t="s">
        <v>137</v>
      </c>
      <c r="H231" s="7" t="s">
        <v>137</v>
      </c>
      <c r="K231" s="6">
        <f t="shared" si="3"/>
        <v>0</v>
      </c>
    </row>
    <row r="232" spans="1:11" x14ac:dyDescent="0.2">
      <c r="A232" t="s">
        <v>242</v>
      </c>
      <c r="B232">
        <v>2016</v>
      </c>
      <c r="C232" t="s">
        <v>243</v>
      </c>
      <c r="D232" t="s">
        <v>243</v>
      </c>
      <c r="E232" s="7" t="s">
        <v>137</v>
      </c>
      <c r="F232" s="7" t="s">
        <v>137</v>
      </c>
      <c r="G232" s="7" t="s">
        <v>137</v>
      </c>
      <c r="H232" s="7" t="s">
        <v>137</v>
      </c>
      <c r="K232" s="6">
        <f t="shared" si="3"/>
        <v>0</v>
      </c>
    </row>
    <row r="233" spans="1:11" x14ac:dyDescent="0.2">
      <c r="A233" t="s">
        <v>242</v>
      </c>
      <c r="B233">
        <v>2018</v>
      </c>
      <c r="C233" t="s">
        <v>247</v>
      </c>
      <c r="D233" t="s">
        <v>247</v>
      </c>
      <c r="E233" s="7" t="s">
        <v>137</v>
      </c>
      <c r="F233" s="7" t="s">
        <v>137</v>
      </c>
      <c r="G233" s="7" t="s">
        <v>137</v>
      </c>
      <c r="H233" s="7" t="s">
        <v>137</v>
      </c>
      <c r="K233" s="6">
        <f t="shared" si="3"/>
        <v>0</v>
      </c>
    </row>
    <row r="234" spans="1:11" x14ac:dyDescent="0.2">
      <c r="A234" t="s">
        <v>242</v>
      </c>
      <c r="B234">
        <v>2019</v>
      </c>
      <c r="C234" t="s">
        <v>247</v>
      </c>
      <c r="D234" t="s">
        <v>247</v>
      </c>
      <c r="E234" s="7" t="s">
        <v>137</v>
      </c>
      <c r="F234" s="7" t="s">
        <v>137</v>
      </c>
      <c r="G234" s="7" t="s">
        <v>137</v>
      </c>
      <c r="H234" s="7" t="s">
        <v>137</v>
      </c>
      <c r="K234" s="6">
        <f t="shared" si="3"/>
        <v>0</v>
      </c>
    </row>
    <row r="235" spans="1:11" x14ac:dyDescent="0.2">
      <c r="A235" t="s">
        <v>242</v>
      </c>
      <c r="B235">
        <v>2011</v>
      </c>
      <c r="C235" t="s">
        <v>243</v>
      </c>
      <c r="D235" t="s">
        <v>248</v>
      </c>
      <c r="E235" s="7" t="s">
        <v>137</v>
      </c>
      <c r="F235" s="7" t="s">
        <v>137</v>
      </c>
      <c r="G235" s="7" t="s">
        <v>137</v>
      </c>
      <c r="H235" s="7" t="s">
        <v>137</v>
      </c>
      <c r="K235" s="6">
        <f t="shared" si="3"/>
        <v>0</v>
      </c>
    </row>
    <row r="236" spans="1:11" x14ac:dyDescent="0.2">
      <c r="A236" t="s">
        <v>242</v>
      </c>
      <c r="B236">
        <v>2011</v>
      </c>
      <c r="C236" t="s">
        <v>248</v>
      </c>
      <c r="D236" t="s">
        <v>248</v>
      </c>
      <c r="E236" s="7" t="s">
        <v>137</v>
      </c>
      <c r="F236" s="7" t="s">
        <v>137</v>
      </c>
      <c r="G236" s="7" t="s">
        <v>137</v>
      </c>
      <c r="H236" s="7" t="s">
        <v>137</v>
      </c>
      <c r="K236" s="6">
        <f t="shared" si="3"/>
        <v>0</v>
      </c>
    </row>
    <row r="237" spans="1:11" x14ac:dyDescent="0.2">
      <c r="A237" t="s">
        <v>242</v>
      </c>
      <c r="B237">
        <v>2012</v>
      </c>
      <c r="C237" t="s">
        <v>248</v>
      </c>
      <c r="D237" t="s">
        <v>248</v>
      </c>
      <c r="E237" s="7" t="s">
        <v>137</v>
      </c>
      <c r="F237" s="7" t="s">
        <v>137</v>
      </c>
      <c r="G237" s="7" t="s">
        <v>137</v>
      </c>
      <c r="H237" s="7" t="s">
        <v>137</v>
      </c>
      <c r="K237" s="6">
        <f t="shared" si="3"/>
        <v>0</v>
      </c>
    </row>
    <row r="238" spans="1:11" x14ac:dyDescent="0.2">
      <c r="A238" t="s">
        <v>242</v>
      </c>
      <c r="B238">
        <v>2013</v>
      </c>
      <c r="C238" t="s">
        <v>243</v>
      </c>
      <c r="D238" t="s">
        <v>248</v>
      </c>
      <c r="E238" s="7" t="s">
        <v>137</v>
      </c>
      <c r="F238" s="7" t="s">
        <v>137</v>
      </c>
      <c r="G238" s="7" t="s">
        <v>137</v>
      </c>
      <c r="H238" s="7" t="s">
        <v>137</v>
      </c>
      <c r="K238" s="6">
        <f t="shared" si="3"/>
        <v>0</v>
      </c>
    </row>
    <row r="239" spans="1:11" x14ac:dyDescent="0.2">
      <c r="A239" t="s">
        <v>242</v>
      </c>
      <c r="B239">
        <v>2014</v>
      </c>
      <c r="C239" t="s">
        <v>243</v>
      </c>
      <c r="D239" t="s">
        <v>248</v>
      </c>
      <c r="E239" s="7" t="s">
        <v>137</v>
      </c>
      <c r="F239" s="7" t="s">
        <v>137</v>
      </c>
      <c r="G239" s="7" t="s">
        <v>137</v>
      </c>
      <c r="H239" s="7" t="s">
        <v>137</v>
      </c>
      <c r="K239" s="6">
        <f t="shared" si="3"/>
        <v>0</v>
      </c>
    </row>
    <row r="240" spans="1:11" x14ac:dyDescent="0.2">
      <c r="A240" t="s">
        <v>242</v>
      </c>
      <c r="B240">
        <v>2015</v>
      </c>
      <c r="C240" t="s">
        <v>243</v>
      </c>
      <c r="D240" t="s">
        <v>248</v>
      </c>
      <c r="E240" s="7" t="s">
        <v>137</v>
      </c>
      <c r="F240" s="7" t="s">
        <v>137</v>
      </c>
      <c r="G240" s="7" t="s">
        <v>137</v>
      </c>
      <c r="H240" s="7" t="s">
        <v>137</v>
      </c>
      <c r="K240" s="6">
        <f t="shared" si="3"/>
        <v>0</v>
      </c>
    </row>
    <row r="241" spans="1:11" x14ac:dyDescent="0.2">
      <c r="A241" t="s">
        <v>242</v>
      </c>
      <c r="B241">
        <v>2015</v>
      </c>
      <c r="C241" t="s">
        <v>248</v>
      </c>
      <c r="D241" t="s">
        <v>248</v>
      </c>
      <c r="E241" s="7" t="s">
        <v>137</v>
      </c>
      <c r="F241" s="7" t="s">
        <v>137</v>
      </c>
      <c r="G241" s="7" t="s">
        <v>137</v>
      </c>
      <c r="H241" s="7" t="s">
        <v>137</v>
      </c>
      <c r="K241" s="6">
        <f t="shared" si="3"/>
        <v>0</v>
      </c>
    </row>
    <row r="242" spans="1:11" x14ac:dyDescent="0.2">
      <c r="A242" t="s">
        <v>242</v>
      </c>
      <c r="B242">
        <v>2016</v>
      </c>
      <c r="C242" t="s">
        <v>248</v>
      </c>
      <c r="D242" t="s">
        <v>248</v>
      </c>
      <c r="E242" s="7" t="s">
        <v>137</v>
      </c>
      <c r="F242" s="7" t="s">
        <v>137</v>
      </c>
      <c r="G242" s="7" t="s">
        <v>137</v>
      </c>
      <c r="H242" s="7" t="s">
        <v>137</v>
      </c>
      <c r="K242" s="6">
        <f t="shared" si="3"/>
        <v>0</v>
      </c>
    </row>
    <row r="243" spans="1:11" x14ac:dyDescent="0.2">
      <c r="A243" t="s">
        <v>242</v>
      </c>
      <c r="B243">
        <v>2018</v>
      </c>
      <c r="C243" t="s">
        <v>249</v>
      </c>
      <c r="D243" t="s">
        <v>249</v>
      </c>
      <c r="E243" s="7" t="s">
        <v>137</v>
      </c>
      <c r="F243" s="7" t="s">
        <v>137</v>
      </c>
      <c r="G243" s="7" t="s">
        <v>137</v>
      </c>
      <c r="H243" s="7" t="s">
        <v>137</v>
      </c>
      <c r="K243" s="6">
        <f t="shared" si="3"/>
        <v>0</v>
      </c>
    </row>
    <row r="244" spans="1:11" x14ac:dyDescent="0.2">
      <c r="A244" t="s">
        <v>242</v>
      </c>
      <c r="B244">
        <v>2015</v>
      </c>
      <c r="C244" t="s">
        <v>250</v>
      </c>
      <c r="D244" t="s">
        <v>250</v>
      </c>
      <c r="E244" s="7" t="s">
        <v>137</v>
      </c>
      <c r="F244" s="7" t="s">
        <v>137</v>
      </c>
      <c r="G244" s="7" t="s">
        <v>137</v>
      </c>
      <c r="H244" s="7" t="s">
        <v>137</v>
      </c>
      <c r="K244" s="6">
        <f t="shared" si="3"/>
        <v>0</v>
      </c>
    </row>
    <row r="245" spans="1:11" x14ac:dyDescent="0.2">
      <c r="A245" t="s">
        <v>242</v>
      </c>
      <c r="B245">
        <v>2016</v>
      </c>
      <c r="C245" t="s">
        <v>250</v>
      </c>
      <c r="D245" t="s">
        <v>250</v>
      </c>
      <c r="E245" s="7" t="s">
        <v>137</v>
      </c>
      <c r="F245" s="7" t="s">
        <v>137</v>
      </c>
      <c r="G245" s="7" t="s">
        <v>137</v>
      </c>
      <c r="H245" s="7" t="s">
        <v>137</v>
      </c>
      <c r="K245" s="6">
        <f t="shared" si="3"/>
        <v>0</v>
      </c>
    </row>
    <row r="246" spans="1:11" x14ac:dyDescent="0.2">
      <c r="A246" t="s">
        <v>251</v>
      </c>
      <c r="B246">
        <v>2014</v>
      </c>
      <c r="C246" t="s">
        <v>252</v>
      </c>
      <c r="D246" t="s">
        <v>253</v>
      </c>
      <c r="E246" s="7">
        <v>0.03</v>
      </c>
      <c r="F246" s="7"/>
      <c r="G246" s="7"/>
      <c r="H246" s="7"/>
      <c r="I246" t="s">
        <v>254</v>
      </c>
      <c r="K246" s="6">
        <f t="shared" si="3"/>
        <v>0.03</v>
      </c>
    </row>
    <row r="247" spans="1:11" x14ac:dyDescent="0.2">
      <c r="A247" t="s">
        <v>251</v>
      </c>
      <c r="B247">
        <v>2014</v>
      </c>
      <c r="C247" t="s">
        <v>252</v>
      </c>
      <c r="D247" t="s">
        <v>255</v>
      </c>
      <c r="E247" s="5">
        <v>0.03</v>
      </c>
      <c r="I247" t="s">
        <v>254</v>
      </c>
      <c r="K247" s="6">
        <f t="shared" si="3"/>
        <v>0.03</v>
      </c>
    </row>
    <row r="248" spans="1:11" x14ac:dyDescent="0.2">
      <c r="A248" s="8" t="s">
        <v>251</v>
      </c>
      <c r="B248">
        <v>2011</v>
      </c>
      <c r="C248" s="8" t="s">
        <v>251</v>
      </c>
      <c r="D248" t="s">
        <v>256</v>
      </c>
      <c r="E248" s="5">
        <v>0.03</v>
      </c>
      <c r="I248" t="s">
        <v>254</v>
      </c>
      <c r="K248" s="6">
        <f t="shared" si="3"/>
        <v>0.03</v>
      </c>
    </row>
    <row r="249" spans="1:11" x14ac:dyDescent="0.2">
      <c r="A249" s="8" t="s">
        <v>251</v>
      </c>
      <c r="B249">
        <v>2012</v>
      </c>
      <c r="C249" s="8" t="s">
        <v>251</v>
      </c>
      <c r="D249" t="s">
        <v>256</v>
      </c>
      <c r="E249" s="5">
        <v>0.03</v>
      </c>
      <c r="I249" t="s">
        <v>254</v>
      </c>
      <c r="K249" s="6">
        <f t="shared" si="3"/>
        <v>0.03</v>
      </c>
    </row>
    <row r="250" spans="1:11" x14ac:dyDescent="0.2">
      <c r="A250" s="8" t="s">
        <v>251</v>
      </c>
      <c r="B250">
        <v>2013</v>
      </c>
      <c r="C250" s="8" t="s">
        <v>251</v>
      </c>
      <c r="D250" t="s">
        <v>256</v>
      </c>
      <c r="E250" s="5">
        <v>0.03</v>
      </c>
      <c r="I250" t="s">
        <v>254</v>
      </c>
      <c r="K250" s="6">
        <f t="shared" si="3"/>
        <v>0.03</v>
      </c>
    </row>
    <row r="251" spans="1:11" x14ac:dyDescent="0.2">
      <c r="A251" t="s">
        <v>251</v>
      </c>
      <c r="B251">
        <v>2011</v>
      </c>
      <c r="C251" t="s">
        <v>252</v>
      </c>
      <c r="D251" t="s">
        <v>257</v>
      </c>
      <c r="E251" s="5">
        <v>0.03</v>
      </c>
      <c r="I251" t="s">
        <v>254</v>
      </c>
      <c r="K251" s="6">
        <f t="shared" si="3"/>
        <v>0.03</v>
      </c>
    </row>
    <row r="252" spans="1:11" x14ac:dyDescent="0.2">
      <c r="A252" s="8" t="s">
        <v>251</v>
      </c>
      <c r="B252">
        <v>2013</v>
      </c>
      <c r="C252" s="8" t="s">
        <v>251</v>
      </c>
      <c r="D252" t="s">
        <v>258</v>
      </c>
      <c r="E252" s="5">
        <v>0.03</v>
      </c>
      <c r="I252" t="s">
        <v>254</v>
      </c>
      <c r="K252" s="6">
        <f t="shared" si="3"/>
        <v>0.03</v>
      </c>
    </row>
    <row r="253" spans="1:11" x14ac:dyDescent="0.2">
      <c r="A253" t="s">
        <v>251</v>
      </c>
      <c r="B253">
        <v>2011</v>
      </c>
      <c r="C253" t="s">
        <v>252</v>
      </c>
      <c r="D253" t="s">
        <v>259</v>
      </c>
      <c r="E253" s="5">
        <v>0.03</v>
      </c>
      <c r="I253" t="s">
        <v>254</v>
      </c>
      <c r="K253" s="6">
        <f t="shared" si="3"/>
        <v>0.03</v>
      </c>
    </row>
    <row r="254" spans="1:11" x14ac:dyDescent="0.2">
      <c r="A254" s="8" t="s">
        <v>251</v>
      </c>
      <c r="B254">
        <v>2012</v>
      </c>
      <c r="C254" s="8" t="s">
        <v>251</v>
      </c>
      <c r="D254" t="s">
        <v>260</v>
      </c>
      <c r="E254" s="5">
        <v>0.03</v>
      </c>
      <c r="I254" t="s">
        <v>254</v>
      </c>
      <c r="K254" s="6">
        <f t="shared" si="3"/>
        <v>0.03</v>
      </c>
    </row>
    <row r="255" spans="1:11" x14ac:dyDescent="0.2">
      <c r="A255" t="s">
        <v>251</v>
      </c>
      <c r="B255">
        <v>2016</v>
      </c>
      <c r="C255" t="s">
        <v>252</v>
      </c>
      <c r="D255" t="s">
        <v>259</v>
      </c>
      <c r="E255" s="5">
        <v>0.03</v>
      </c>
      <c r="I255" t="s">
        <v>254</v>
      </c>
      <c r="K255" s="6">
        <f t="shared" si="3"/>
        <v>0.03</v>
      </c>
    </row>
    <row r="256" spans="1:11" x14ac:dyDescent="0.2">
      <c r="A256" t="s">
        <v>251</v>
      </c>
      <c r="B256">
        <v>2010</v>
      </c>
      <c r="C256" t="s">
        <v>252</v>
      </c>
      <c r="D256" t="s">
        <v>252</v>
      </c>
      <c r="E256" s="5">
        <v>0.03</v>
      </c>
      <c r="I256" t="s">
        <v>254</v>
      </c>
      <c r="K256" s="6">
        <f t="shared" si="3"/>
        <v>0.03</v>
      </c>
    </row>
    <row r="257" spans="1:11" x14ac:dyDescent="0.2">
      <c r="A257" t="s">
        <v>251</v>
      </c>
      <c r="B257">
        <v>2011</v>
      </c>
      <c r="C257" t="s">
        <v>252</v>
      </c>
      <c r="D257" t="s">
        <v>252</v>
      </c>
      <c r="E257" s="5">
        <v>0.03</v>
      </c>
      <c r="I257" t="s">
        <v>254</v>
      </c>
      <c r="K257" s="6">
        <f t="shared" si="3"/>
        <v>0.03</v>
      </c>
    </row>
    <row r="258" spans="1:11" x14ac:dyDescent="0.2">
      <c r="A258" t="s">
        <v>251</v>
      </c>
      <c r="B258">
        <v>2012</v>
      </c>
      <c r="C258" t="s">
        <v>252</v>
      </c>
      <c r="D258" t="s">
        <v>252</v>
      </c>
      <c r="E258" s="5">
        <v>0.03</v>
      </c>
      <c r="I258" t="s">
        <v>254</v>
      </c>
      <c r="K258" s="6">
        <f t="shared" ref="K258:K321" si="4">SUM(E258:H258)</f>
        <v>0.03</v>
      </c>
    </row>
    <row r="259" spans="1:11" x14ac:dyDescent="0.2">
      <c r="A259" t="s">
        <v>251</v>
      </c>
      <c r="B259">
        <v>2013</v>
      </c>
      <c r="C259" t="s">
        <v>252</v>
      </c>
      <c r="D259" t="s">
        <v>252</v>
      </c>
      <c r="E259" s="5">
        <v>0.03</v>
      </c>
      <c r="I259" t="s">
        <v>254</v>
      </c>
      <c r="K259" s="6">
        <f t="shared" si="4"/>
        <v>0.03</v>
      </c>
    </row>
    <row r="260" spans="1:11" x14ac:dyDescent="0.2">
      <c r="A260" t="s">
        <v>251</v>
      </c>
      <c r="B260">
        <v>2014</v>
      </c>
      <c r="C260" t="s">
        <v>252</v>
      </c>
      <c r="D260" t="s">
        <v>252</v>
      </c>
      <c r="E260" s="5">
        <v>0.03</v>
      </c>
      <c r="I260" t="s">
        <v>254</v>
      </c>
      <c r="K260" s="6">
        <f t="shared" si="4"/>
        <v>0.03</v>
      </c>
    </row>
    <row r="261" spans="1:11" x14ac:dyDescent="0.2">
      <c r="A261" t="s">
        <v>251</v>
      </c>
      <c r="B261">
        <v>2015</v>
      </c>
      <c r="C261" t="s">
        <v>252</v>
      </c>
      <c r="D261" t="s">
        <v>252</v>
      </c>
      <c r="E261" s="5">
        <v>0.03</v>
      </c>
      <c r="I261" t="s">
        <v>254</v>
      </c>
      <c r="K261" s="6">
        <f t="shared" si="4"/>
        <v>0.03</v>
      </c>
    </row>
    <row r="262" spans="1:11" x14ac:dyDescent="0.2">
      <c r="A262" t="s">
        <v>251</v>
      </c>
      <c r="B262">
        <v>2016</v>
      </c>
      <c r="C262" t="s">
        <v>252</v>
      </c>
      <c r="D262" t="s">
        <v>252</v>
      </c>
      <c r="E262" s="5">
        <v>0.03</v>
      </c>
      <c r="I262" t="s">
        <v>254</v>
      </c>
      <c r="K262" s="6">
        <f t="shared" si="4"/>
        <v>0.03</v>
      </c>
    </row>
    <row r="263" spans="1:11" x14ac:dyDescent="0.2">
      <c r="A263" s="8" t="s">
        <v>251</v>
      </c>
      <c r="B263">
        <v>2017</v>
      </c>
      <c r="C263" s="8" t="s">
        <v>251</v>
      </c>
      <c r="D263" t="s">
        <v>252</v>
      </c>
      <c r="E263" s="5">
        <v>0.03</v>
      </c>
      <c r="I263" t="s">
        <v>254</v>
      </c>
      <c r="K263" s="6">
        <f t="shared" si="4"/>
        <v>0.03</v>
      </c>
    </row>
    <row r="264" spans="1:11" x14ac:dyDescent="0.2">
      <c r="A264" s="8" t="s">
        <v>251</v>
      </c>
      <c r="B264">
        <v>2018</v>
      </c>
      <c r="C264" s="8" t="s">
        <v>251</v>
      </c>
      <c r="D264" t="s">
        <v>252</v>
      </c>
      <c r="E264" s="7">
        <v>0.03</v>
      </c>
      <c r="F264" s="7"/>
      <c r="G264" s="7"/>
      <c r="H264" s="7"/>
      <c r="I264" t="s">
        <v>254</v>
      </c>
      <c r="K264" s="6">
        <f t="shared" si="4"/>
        <v>0.03</v>
      </c>
    </row>
    <row r="265" spans="1:11" x14ac:dyDescent="0.2">
      <c r="A265" t="s">
        <v>251</v>
      </c>
      <c r="B265">
        <v>2018</v>
      </c>
      <c r="C265" s="8" t="s">
        <v>251</v>
      </c>
      <c r="D265" t="s">
        <v>252</v>
      </c>
      <c r="E265" s="7">
        <v>0.03</v>
      </c>
      <c r="F265" s="7"/>
      <c r="G265" s="7"/>
      <c r="H265" s="7"/>
      <c r="I265" t="s">
        <v>254</v>
      </c>
      <c r="K265" s="6">
        <f t="shared" si="4"/>
        <v>0.03</v>
      </c>
    </row>
    <row r="266" spans="1:11" x14ac:dyDescent="0.2">
      <c r="A266" t="s">
        <v>251</v>
      </c>
      <c r="B266">
        <v>2018</v>
      </c>
      <c r="C266" t="s">
        <v>252</v>
      </c>
      <c r="D266" t="s">
        <v>252</v>
      </c>
      <c r="E266" s="7">
        <v>0.03</v>
      </c>
      <c r="F266" s="7"/>
      <c r="G266" s="7"/>
      <c r="H266" s="7"/>
      <c r="I266" t="s">
        <v>254</v>
      </c>
      <c r="K266" s="6">
        <f t="shared" si="4"/>
        <v>0.03</v>
      </c>
    </row>
    <row r="267" spans="1:11" x14ac:dyDescent="0.2">
      <c r="A267" t="s">
        <v>251</v>
      </c>
      <c r="B267">
        <v>2019</v>
      </c>
      <c r="C267" t="s">
        <v>252</v>
      </c>
      <c r="D267" t="s">
        <v>252</v>
      </c>
      <c r="E267" s="7">
        <v>0.03</v>
      </c>
      <c r="F267" s="7"/>
      <c r="G267" s="7"/>
      <c r="H267" s="7"/>
      <c r="I267" t="s">
        <v>254</v>
      </c>
      <c r="K267" s="6">
        <f t="shared" si="4"/>
        <v>0.03</v>
      </c>
    </row>
    <row r="268" spans="1:11" x14ac:dyDescent="0.2">
      <c r="A268" s="8" t="s">
        <v>251</v>
      </c>
      <c r="B268">
        <v>2015</v>
      </c>
      <c r="C268" s="8" t="s">
        <v>251</v>
      </c>
      <c r="D268" t="s">
        <v>261</v>
      </c>
      <c r="E268" s="7">
        <v>0.03</v>
      </c>
      <c r="F268" s="7"/>
      <c r="G268" s="7"/>
      <c r="H268" s="7"/>
      <c r="I268" t="s">
        <v>254</v>
      </c>
      <c r="K268" s="6">
        <f t="shared" si="4"/>
        <v>0.03</v>
      </c>
    </row>
    <row r="269" spans="1:11" x14ac:dyDescent="0.2">
      <c r="A269" s="8" t="s">
        <v>251</v>
      </c>
      <c r="B269">
        <v>2017</v>
      </c>
      <c r="C269" s="8" t="s">
        <v>251</v>
      </c>
      <c r="D269" t="s">
        <v>261</v>
      </c>
      <c r="E269" s="7">
        <v>0.03</v>
      </c>
      <c r="F269" s="7"/>
      <c r="G269" s="7"/>
      <c r="H269" s="7"/>
      <c r="I269" t="s">
        <v>254</v>
      </c>
      <c r="K269" s="6">
        <f t="shared" si="4"/>
        <v>0.03</v>
      </c>
    </row>
    <row r="270" spans="1:11" x14ac:dyDescent="0.2">
      <c r="A270" s="8" t="s">
        <v>251</v>
      </c>
      <c r="B270">
        <v>2018</v>
      </c>
      <c r="C270" s="8" t="s">
        <v>251</v>
      </c>
      <c r="D270" t="s">
        <v>261</v>
      </c>
      <c r="E270" s="7">
        <v>0.03</v>
      </c>
      <c r="F270" s="7"/>
      <c r="G270" s="7"/>
      <c r="H270" s="7"/>
      <c r="I270" t="s">
        <v>254</v>
      </c>
      <c r="K270" s="6">
        <f t="shared" si="4"/>
        <v>0.03</v>
      </c>
    </row>
    <row r="271" spans="1:11" x14ac:dyDescent="0.2">
      <c r="A271" t="s">
        <v>251</v>
      </c>
      <c r="B271">
        <v>2018</v>
      </c>
      <c r="C271" s="8" t="s">
        <v>251</v>
      </c>
      <c r="D271" t="s">
        <v>261</v>
      </c>
      <c r="E271" s="7">
        <v>0.03</v>
      </c>
      <c r="F271" s="7"/>
      <c r="G271" s="7"/>
      <c r="H271" s="7"/>
      <c r="I271" t="s">
        <v>254</v>
      </c>
      <c r="K271" s="6">
        <f t="shared" si="4"/>
        <v>0.03</v>
      </c>
    </row>
    <row r="272" spans="1:11" x14ac:dyDescent="0.2">
      <c r="A272" t="s">
        <v>251</v>
      </c>
      <c r="B272">
        <v>2015</v>
      </c>
      <c r="C272" t="s">
        <v>262</v>
      </c>
      <c r="D272" t="s">
        <v>262</v>
      </c>
      <c r="E272" s="7">
        <v>0.03</v>
      </c>
      <c r="F272" s="7"/>
      <c r="G272" s="7"/>
      <c r="H272" s="7"/>
      <c r="I272" t="s">
        <v>254</v>
      </c>
      <c r="K272" s="6">
        <f t="shared" si="4"/>
        <v>0.03</v>
      </c>
    </row>
    <row r="273" spans="1:11" x14ac:dyDescent="0.2">
      <c r="A273" t="s">
        <v>251</v>
      </c>
      <c r="B273">
        <v>2016</v>
      </c>
      <c r="C273" t="s">
        <v>262</v>
      </c>
      <c r="D273" t="s">
        <v>262</v>
      </c>
      <c r="E273" s="7">
        <v>0.03</v>
      </c>
      <c r="F273" s="7"/>
      <c r="G273" s="7"/>
      <c r="H273" s="7"/>
      <c r="I273" t="s">
        <v>254</v>
      </c>
      <c r="K273" s="6">
        <f t="shared" si="4"/>
        <v>0.03</v>
      </c>
    </row>
    <row r="274" spans="1:11" x14ac:dyDescent="0.2">
      <c r="A274" s="8" t="s">
        <v>251</v>
      </c>
      <c r="B274">
        <v>2017</v>
      </c>
      <c r="C274" s="8" t="s">
        <v>251</v>
      </c>
      <c r="D274" t="s">
        <v>262</v>
      </c>
      <c r="E274" s="7">
        <v>0.03</v>
      </c>
      <c r="F274" s="7"/>
      <c r="G274" s="7"/>
      <c r="H274" s="7"/>
      <c r="I274" t="s">
        <v>254</v>
      </c>
      <c r="K274" s="6">
        <f t="shared" si="4"/>
        <v>0.03</v>
      </c>
    </row>
    <row r="275" spans="1:11" x14ac:dyDescent="0.2">
      <c r="A275" s="8" t="s">
        <v>251</v>
      </c>
      <c r="B275">
        <v>2018</v>
      </c>
      <c r="C275" s="8" t="s">
        <v>251</v>
      </c>
      <c r="D275" t="s">
        <v>262</v>
      </c>
      <c r="E275" s="7">
        <v>0.03</v>
      </c>
      <c r="F275" s="7"/>
      <c r="G275" s="7"/>
      <c r="H275" s="7"/>
      <c r="I275" t="s">
        <v>254</v>
      </c>
      <c r="K275" s="6">
        <f t="shared" si="4"/>
        <v>0.03</v>
      </c>
    </row>
    <row r="276" spans="1:11" x14ac:dyDescent="0.2">
      <c r="A276" t="s">
        <v>251</v>
      </c>
      <c r="B276">
        <v>2018</v>
      </c>
      <c r="C276" s="8" t="s">
        <v>251</v>
      </c>
      <c r="D276" t="s">
        <v>262</v>
      </c>
      <c r="E276" s="7">
        <v>0.03</v>
      </c>
      <c r="F276" s="7"/>
      <c r="G276" s="7"/>
      <c r="H276" s="7"/>
      <c r="I276" t="s">
        <v>254</v>
      </c>
      <c r="K276" s="6">
        <f t="shared" si="4"/>
        <v>0.03</v>
      </c>
    </row>
    <row r="277" spans="1:11" x14ac:dyDescent="0.2">
      <c r="A277" t="s">
        <v>251</v>
      </c>
      <c r="B277">
        <v>2019</v>
      </c>
      <c r="C277" t="s">
        <v>262</v>
      </c>
      <c r="D277" t="s">
        <v>262</v>
      </c>
      <c r="E277" s="7">
        <v>0.03</v>
      </c>
      <c r="F277" s="7"/>
      <c r="G277" s="7"/>
      <c r="H277" s="7"/>
      <c r="I277" t="s">
        <v>254</v>
      </c>
      <c r="K277" s="6">
        <f t="shared" si="4"/>
        <v>0.03</v>
      </c>
    </row>
    <row r="278" spans="1:11" x14ac:dyDescent="0.2">
      <c r="A278" t="s">
        <v>263</v>
      </c>
      <c r="B278">
        <v>2010</v>
      </c>
      <c r="C278" t="s">
        <v>264</v>
      </c>
      <c r="D278" t="s">
        <v>265</v>
      </c>
      <c r="E278" s="5">
        <f>(1774223+242476)/(1919124+244987)</f>
        <v>0.93188334609453949</v>
      </c>
      <c r="I278" t="s">
        <v>266</v>
      </c>
      <c r="J278" t="s">
        <v>267</v>
      </c>
      <c r="K278" s="6">
        <f t="shared" si="4"/>
        <v>0.93188334609453949</v>
      </c>
    </row>
    <row r="279" spans="1:11" x14ac:dyDescent="0.2">
      <c r="A279" t="s">
        <v>263</v>
      </c>
      <c r="B279">
        <v>2013</v>
      </c>
      <c r="C279" t="s">
        <v>264</v>
      </c>
      <c r="D279" t="s">
        <v>268</v>
      </c>
      <c r="E279" s="5">
        <v>1</v>
      </c>
      <c r="I279" t="s">
        <v>269</v>
      </c>
      <c r="J279" t="s">
        <v>270</v>
      </c>
      <c r="K279" s="6">
        <f t="shared" si="4"/>
        <v>1</v>
      </c>
    </row>
    <row r="280" spans="1:11" x14ac:dyDescent="0.2">
      <c r="A280" t="s">
        <v>271</v>
      </c>
      <c r="B280">
        <v>2011</v>
      </c>
      <c r="C280" t="s">
        <v>271</v>
      </c>
      <c r="D280" t="s">
        <v>272</v>
      </c>
      <c r="E280" s="5">
        <f>(9511+8907)/(9511+8907+17418)</f>
        <v>0.51395245005022883</v>
      </c>
      <c r="I280" t="s">
        <v>273</v>
      </c>
      <c r="J280" t="s">
        <v>274</v>
      </c>
      <c r="K280" s="6">
        <f t="shared" si="4"/>
        <v>0.51395245005022883</v>
      </c>
    </row>
    <row r="281" spans="1:11" x14ac:dyDescent="0.2">
      <c r="A281" t="s">
        <v>271</v>
      </c>
      <c r="B281">
        <v>2012</v>
      </c>
      <c r="C281" t="s">
        <v>271</v>
      </c>
      <c r="D281" t="s">
        <v>272</v>
      </c>
      <c r="E281" s="5">
        <f>(7719+6649)/(7719+6649+59712+1938)</f>
        <v>0.18900786655792048</v>
      </c>
      <c r="I281" t="s">
        <v>275</v>
      </c>
      <c r="J281" t="s">
        <v>276</v>
      </c>
      <c r="K281" s="6">
        <f t="shared" si="4"/>
        <v>0.18900786655792048</v>
      </c>
    </row>
    <row r="282" spans="1:11" x14ac:dyDescent="0.2">
      <c r="A282" t="s">
        <v>271</v>
      </c>
      <c r="B282">
        <v>2013</v>
      </c>
      <c r="C282" t="s">
        <v>271</v>
      </c>
      <c r="D282" t="s">
        <v>272</v>
      </c>
      <c r="E282" s="5">
        <f>(7655+5209)/(7655+5209+28978+590)</f>
        <v>0.30316742081447962</v>
      </c>
      <c r="I282" t="s">
        <v>275</v>
      </c>
      <c r="J282" t="s">
        <v>276</v>
      </c>
      <c r="K282" s="6">
        <f t="shared" si="4"/>
        <v>0.30316742081447962</v>
      </c>
    </row>
    <row r="283" spans="1:11" x14ac:dyDescent="0.2">
      <c r="A283" t="s">
        <v>271</v>
      </c>
      <c r="B283">
        <v>2015</v>
      </c>
      <c r="C283" t="s">
        <v>271</v>
      </c>
      <c r="D283" t="s">
        <v>272</v>
      </c>
      <c r="E283" s="5">
        <f>(9460+4686)/(23653+250)</f>
        <v>0.59180855959502987</v>
      </c>
      <c r="I283" t="s">
        <v>275</v>
      </c>
      <c r="J283" t="s">
        <v>277</v>
      </c>
      <c r="K283" s="6">
        <f t="shared" si="4"/>
        <v>0.59180855959502987</v>
      </c>
    </row>
    <row r="284" spans="1:11" x14ac:dyDescent="0.2">
      <c r="A284" t="s">
        <v>271</v>
      </c>
      <c r="B284">
        <v>2016</v>
      </c>
      <c r="C284" t="s">
        <v>278</v>
      </c>
      <c r="D284" t="s">
        <v>278</v>
      </c>
      <c r="E284" s="5">
        <f>(3527+3252)/(3527+3252+3906+19)</f>
        <v>0.63331464872944698</v>
      </c>
      <c r="I284" t="s">
        <v>279</v>
      </c>
      <c r="J284" t="s">
        <v>280</v>
      </c>
      <c r="K284" s="6">
        <f t="shared" si="4"/>
        <v>0.63331464872944698</v>
      </c>
    </row>
    <row r="285" spans="1:11" x14ac:dyDescent="0.2">
      <c r="A285" s="8" t="s">
        <v>281</v>
      </c>
      <c r="B285">
        <v>2017</v>
      </c>
      <c r="C285" s="8" t="s">
        <v>281</v>
      </c>
      <c r="D285" t="s">
        <v>282</v>
      </c>
      <c r="E285" s="5">
        <v>1.4999999999999999E-2</v>
      </c>
      <c r="I285" s="5" t="s">
        <v>283</v>
      </c>
      <c r="K285" s="6">
        <f t="shared" si="4"/>
        <v>1.4999999999999999E-2</v>
      </c>
    </row>
    <row r="286" spans="1:11" x14ac:dyDescent="0.2">
      <c r="A286" s="8" t="s">
        <v>281</v>
      </c>
      <c r="B286">
        <v>2018</v>
      </c>
      <c r="C286" s="8" t="s">
        <v>281</v>
      </c>
      <c r="D286" t="s">
        <v>282</v>
      </c>
      <c r="E286" s="7">
        <v>1.4999999999999999E-2</v>
      </c>
      <c r="F286" s="7"/>
      <c r="G286" s="7"/>
      <c r="H286" s="7"/>
      <c r="I286" s="7" t="s">
        <v>283</v>
      </c>
      <c r="K286" s="6">
        <f t="shared" si="4"/>
        <v>1.4999999999999999E-2</v>
      </c>
    </row>
    <row r="287" spans="1:11" x14ac:dyDescent="0.2">
      <c r="A287" s="8" t="s">
        <v>281</v>
      </c>
      <c r="B287">
        <v>2016</v>
      </c>
      <c r="C287" s="8" t="s">
        <v>281</v>
      </c>
      <c r="D287" t="s">
        <v>284</v>
      </c>
      <c r="E287" s="7">
        <v>1.4999999999999999E-2</v>
      </c>
      <c r="F287" s="7"/>
      <c r="G287" s="7"/>
      <c r="H287" s="7"/>
      <c r="I287" s="7" t="s">
        <v>283</v>
      </c>
      <c r="K287" s="6">
        <f t="shared" si="4"/>
        <v>1.4999999999999999E-2</v>
      </c>
    </row>
    <row r="288" spans="1:11" x14ac:dyDescent="0.2">
      <c r="A288" s="8" t="s">
        <v>281</v>
      </c>
      <c r="B288">
        <v>2017</v>
      </c>
      <c r="C288" s="8" t="s">
        <v>281</v>
      </c>
      <c r="D288" t="s">
        <v>284</v>
      </c>
      <c r="E288" s="7">
        <v>1.4999999999999999E-2</v>
      </c>
      <c r="F288" s="7"/>
      <c r="G288" s="7"/>
      <c r="H288" s="7"/>
      <c r="I288" s="7" t="s">
        <v>283</v>
      </c>
      <c r="K288" s="6">
        <f t="shared" si="4"/>
        <v>1.4999999999999999E-2</v>
      </c>
    </row>
    <row r="289" spans="1:11" x14ac:dyDescent="0.2">
      <c r="A289" s="8" t="s">
        <v>281</v>
      </c>
      <c r="B289">
        <v>2018</v>
      </c>
      <c r="C289" s="8" t="s">
        <v>281</v>
      </c>
      <c r="D289" t="s">
        <v>284</v>
      </c>
      <c r="E289" s="7">
        <v>1.4999999999999999E-2</v>
      </c>
      <c r="F289" s="7"/>
      <c r="G289" s="7"/>
      <c r="H289" s="7"/>
      <c r="I289" s="7" t="s">
        <v>283</v>
      </c>
      <c r="K289" s="6">
        <f t="shared" si="4"/>
        <v>1.4999999999999999E-2</v>
      </c>
    </row>
    <row r="290" spans="1:11" x14ac:dyDescent="0.2">
      <c r="A290" t="s">
        <v>281</v>
      </c>
      <c r="B290">
        <v>2018</v>
      </c>
      <c r="C290" s="8" t="s">
        <v>281</v>
      </c>
      <c r="D290" t="s">
        <v>284</v>
      </c>
      <c r="E290" s="7">
        <v>1.4999999999999999E-2</v>
      </c>
      <c r="F290" s="7"/>
      <c r="G290" s="7"/>
      <c r="H290" s="7"/>
      <c r="I290" s="7" t="s">
        <v>283</v>
      </c>
      <c r="K290" s="6">
        <f t="shared" si="4"/>
        <v>1.4999999999999999E-2</v>
      </c>
    </row>
    <row r="291" spans="1:11" x14ac:dyDescent="0.2">
      <c r="A291" s="8" t="s">
        <v>281</v>
      </c>
      <c r="B291">
        <v>2015</v>
      </c>
      <c r="C291" s="8" t="s">
        <v>281</v>
      </c>
      <c r="D291" t="s">
        <v>285</v>
      </c>
      <c r="E291" s="7">
        <v>1.4999999999999999E-2</v>
      </c>
      <c r="F291" s="7"/>
      <c r="G291" s="7"/>
      <c r="H291" s="7"/>
      <c r="I291" s="7" t="s">
        <v>283</v>
      </c>
      <c r="K291" s="6">
        <f t="shared" si="4"/>
        <v>1.4999999999999999E-2</v>
      </c>
    </row>
    <row r="292" spans="1:11" x14ac:dyDescent="0.2">
      <c r="A292" s="8" t="s">
        <v>281</v>
      </c>
      <c r="B292">
        <v>2017</v>
      </c>
      <c r="C292" s="8" t="s">
        <v>281</v>
      </c>
      <c r="D292" t="s">
        <v>285</v>
      </c>
      <c r="E292" s="7">
        <v>1.4999999999999999E-2</v>
      </c>
      <c r="F292" s="7"/>
      <c r="G292" s="7"/>
      <c r="H292" s="7"/>
      <c r="I292" s="7" t="s">
        <v>283</v>
      </c>
      <c r="K292" s="6">
        <f t="shared" si="4"/>
        <v>1.4999999999999999E-2</v>
      </c>
    </row>
    <row r="293" spans="1:11" x14ac:dyDescent="0.2">
      <c r="A293" s="8" t="s">
        <v>281</v>
      </c>
      <c r="B293">
        <v>2018</v>
      </c>
      <c r="C293" s="8" t="s">
        <v>281</v>
      </c>
      <c r="D293" t="s">
        <v>285</v>
      </c>
      <c r="E293" s="7">
        <v>1.4999999999999999E-2</v>
      </c>
      <c r="F293" s="7"/>
      <c r="G293" s="7"/>
      <c r="H293" s="7"/>
      <c r="I293" s="7" t="s">
        <v>283</v>
      </c>
      <c r="K293" s="6">
        <f t="shared" si="4"/>
        <v>1.4999999999999999E-2</v>
      </c>
    </row>
    <row r="294" spans="1:11" x14ac:dyDescent="0.2">
      <c r="A294" t="s">
        <v>281</v>
      </c>
      <c r="B294">
        <v>2010</v>
      </c>
      <c r="C294" t="s">
        <v>286</v>
      </c>
      <c r="D294" t="s">
        <v>287</v>
      </c>
      <c r="E294" s="7">
        <v>1.4999999999999999E-2</v>
      </c>
      <c r="F294" s="7"/>
      <c r="G294" s="7"/>
      <c r="H294" s="7"/>
      <c r="I294" s="7" t="s">
        <v>283</v>
      </c>
      <c r="K294" s="6">
        <f t="shared" si="4"/>
        <v>1.4999999999999999E-2</v>
      </c>
    </row>
    <row r="295" spans="1:11" x14ac:dyDescent="0.2">
      <c r="A295" t="s">
        <v>281</v>
      </c>
      <c r="B295">
        <v>2011</v>
      </c>
      <c r="C295" t="s">
        <v>286</v>
      </c>
      <c r="D295" t="s">
        <v>287</v>
      </c>
      <c r="E295" s="7">
        <v>1.4999999999999999E-2</v>
      </c>
      <c r="F295" s="7"/>
      <c r="G295" s="7"/>
      <c r="H295" s="7"/>
      <c r="I295" s="7" t="s">
        <v>283</v>
      </c>
      <c r="K295" s="6">
        <f t="shared" si="4"/>
        <v>1.4999999999999999E-2</v>
      </c>
    </row>
    <row r="296" spans="1:11" x14ac:dyDescent="0.2">
      <c r="A296" t="s">
        <v>281</v>
      </c>
      <c r="B296">
        <v>2012</v>
      </c>
      <c r="C296" t="s">
        <v>286</v>
      </c>
      <c r="D296" t="s">
        <v>287</v>
      </c>
      <c r="E296" s="7">
        <v>1.4999999999999999E-2</v>
      </c>
      <c r="F296" s="7"/>
      <c r="G296" s="7"/>
      <c r="H296" s="7"/>
      <c r="I296" s="7" t="s">
        <v>283</v>
      </c>
      <c r="K296" s="6">
        <f t="shared" si="4"/>
        <v>1.4999999999999999E-2</v>
      </c>
    </row>
    <row r="297" spans="1:11" x14ac:dyDescent="0.2">
      <c r="A297" t="s">
        <v>281</v>
      </c>
      <c r="B297">
        <v>2013</v>
      </c>
      <c r="C297" t="s">
        <v>286</v>
      </c>
      <c r="D297" t="s">
        <v>287</v>
      </c>
      <c r="E297" s="7">
        <v>1.4999999999999999E-2</v>
      </c>
      <c r="F297" s="7"/>
      <c r="G297" s="7"/>
      <c r="H297" s="7"/>
      <c r="I297" s="7" t="s">
        <v>283</v>
      </c>
      <c r="K297" s="6">
        <f t="shared" si="4"/>
        <v>1.4999999999999999E-2</v>
      </c>
    </row>
    <row r="298" spans="1:11" x14ac:dyDescent="0.2">
      <c r="A298" s="8" t="s">
        <v>281</v>
      </c>
      <c r="B298">
        <v>2015</v>
      </c>
      <c r="C298" s="8" t="s">
        <v>281</v>
      </c>
      <c r="D298" t="s">
        <v>288</v>
      </c>
      <c r="E298" s="7">
        <v>1.4999999999999999E-2</v>
      </c>
      <c r="F298" s="7"/>
      <c r="G298" s="7"/>
      <c r="H298" s="7"/>
      <c r="I298" s="7" t="s">
        <v>283</v>
      </c>
      <c r="K298" s="6">
        <f t="shared" si="4"/>
        <v>1.4999999999999999E-2</v>
      </c>
    </row>
    <row r="299" spans="1:11" x14ac:dyDescent="0.2">
      <c r="A299" t="s">
        <v>281</v>
      </c>
      <c r="B299">
        <v>2016</v>
      </c>
      <c r="C299" t="s">
        <v>286</v>
      </c>
      <c r="D299" t="s">
        <v>287</v>
      </c>
      <c r="E299" s="7">
        <v>1.4999999999999999E-2</v>
      </c>
      <c r="F299" s="7"/>
      <c r="G299" s="7"/>
      <c r="H299" s="7"/>
      <c r="I299" s="7" t="s">
        <v>283</v>
      </c>
      <c r="K299" s="6">
        <f t="shared" si="4"/>
        <v>1.4999999999999999E-2</v>
      </c>
    </row>
    <row r="300" spans="1:11" x14ac:dyDescent="0.2">
      <c r="A300" s="8" t="s">
        <v>281</v>
      </c>
      <c r="B300">
        <v>2017</v>
      </c>
      <c r="C300" s="8" t="s">
        <v>281</v>
      </c>
      <c r="D300" t="s">
        <v>288</v>
      </c>
      <c r="E300" s="7">
        <v>1.4999999999999999E-2</v>
      </c>
      <c r="F300" s="7"/>
      <c r="G300" s="7"/>
      <c r="H300" s="7"/>
      <c r="I300" s="7" t="s">
        <v>283</v>
      </c>
      <c r="K300" s="6">
        <f t="shared" si="4"/>
        <v>1.4999999999999999E-2</v>
      </c>
    </row>
    <row r="301" spans="1:11" x14ac:dyDescent="0.2">
      <c r="A301" s="8" t="s">
        <v>281</v>
      </c>
      <c r="B301">
        <v>2018</v>
      </c>
      <c r="C301" s="8" t="s">
        <v>281</v>
      </c>
      <c r="D301" t="s">
        <v>288</v>
      </c>
      <c r="E301" s="7">
        <v>1.4999999999999999E-2</v>
      </c>
      <c r="F301" s="7"/>
      <c r="G301" s="7"/>
      <c r="H301" s="7"/>
      <c r="I301" s="7" t="s">
        <v>283</v>
      </c>
      <c r="K301" s="6">
        <f t="shared" si="4"/>
        <v>1.4999999999999999E-2</v>
      </c>
    </row>
    <row r="302" spans="1:11" x14ac:dyDescent="0.2">
      <c r="A302" t="s">
        <v>281</v>
      </c>
      <c r="B302">
        <v>2010</v>
      </c>
      <c r="C302" t="s">
        <v>286</v>
      </c>
      <c r="D302" t="s">
        <v>286</v>
      </c>
      <c r="E302" s="7">
        <v>1.4999999999999999E-2</v>
      </c>
      <c r="F302" s="7"/>
      <c r="G302" s="7"/>
      <c r="H302" s="7"/>
      <c r="I302" s="7" t="s">
        <v>283</v>
      </c>
      <c r="K302" s="6">
        <f t="shared" si="4"/>
        <v>1.4999999999999999E-2</v>
      </c>
    </row>
    <row r="303" spans="1:11" x14ac:dyDescent="0.2">
      <c r="A303" t="s">
        <v>281</v>
      </c>
      <c r="B303">
        <v>2011</v>
      </c>
      <c r="C303" t="s">
        <v>286</v>
      </c>
      <c r="D303" t="s">
        <v>286</v>
      </c>
      <c r="E303" s="7">
        <v>1.4999999999999999E-2</v>
      </c>
      <c r="F303" s="7"/>
      <c r="G303" s="7"/>
      <c r="H303" s="7"/>
      <c r="I303" s="7" t="s">
        <v>283</v>
      </c>
      <c r="K303" s="6">
        <f t="shared" si="4"/>
        <v>1.4999999999999999E-2</v>
      </c>
    </row>
    <row r="304" spans="1:11" x14ac:dyDescent="0.2">
      <c r="A304" t="s">
        <v>281</v>
      </c>
      <c r="B304">
        <v>2012</v>
      </c>
      <c r="C304" t="s">
        <v>286</v>
      </c>
      <c r="D304" t="s">
        <v>286</v>
      </c>
      <c r="E304" s="7">
        <v>1.4999999999999999E-2</v>
      </c>
      <c r="F304" s="7"/>
      <c r="G304" s="7"/>
      <c r="H304" s="7"/>
      <c r="I304" s="7" t="s">
        <v>283</v>
      </c>
      <c r="K304" s="6">
        <f t="shared" si="4"/>
        <v>1.4999999999999999E-2</v>
      </c>
    </row>
    <row r="305" spans="1:11" x14ac:dyDescent="0.2">
      <c r="A305" t="s">
        <v>281</v>
      </c>
      <c r="B305">
        <v>2013</v>
      </c>
      <c r="C305" t="s">
        <v>286</v>
      </c>
      <c r="D305" t="s">
        <v>286</v>
      </c>
      <c r="E305" s="7">
        <v>1.4999999999999999E-2</v>
      </c>
      <c r="F305" s="7"/>
      <c r="G305" s="7"/>
      <c r="H305" s="7"/>
      <c r="I305" s="7" t="s">
        <v>283</v>
      </c>
      <c r="K305" s="6">
        <f t="shared" si="4"/>
        <v>1.4999999999999999E-2</v>
      </c>
    </row>
    <row r="306" spans="1:11" x14ac:dyDescent="0.2">
      <c r="A306" t="s">
        <v>281</v>
      </c>
      <c r="B306">
        <v>2015</v>
      </c>
      <c r="C306" t="s">
        <v>286</v>
      </c>
      <c r="D306" t="s">
        <v>286</v>
      </c>
      <c r="E306" s="7">
        <v>1.4999999999999999E-2</v>
      </c>
      <c r="F306" s="7"/>
      <c r="G306" s="7"/>
      <c r="H306" s="7"/>
      <c r="I306" s="7" t="s">
        <v>283</v>
      </c>
      <c r="K306" s="6">
        <f t="shared" si="4"/>
        <v>1.4999999999999999E-2</v>
      </c>
    </row>
    <row r="307" spans="1:11" x14ac:dyDescent="0.2">
      <c r="A307" t="s">
        <v>281</v>
      </c>
      <c r="B307">
        <v>2016</v>
      </c>
      <c r="C307" t="s">
        <v>286</v>
      </c>
      <c r="D307" t="s">
        <v>286</v>
      </c>
      <c r="E307" s="7">
        <v>1.4999999999999999E-2</v>
      </c>
      <c r="F307" s="7"/>
      <c r="G307" s="7"/>
      <c r="H307" s="7"/>
      <c r="I307" s="7" t="s">
        <v>283</v>
      </c>
      <c r="K307" s="6">
        <f t="shared" si="4"/>
        <v>1.4999999999999999E-2</v>
      </c>
    </row>
    <row r="308" spans="1:11" x14ac:dyDescent="0.2">
      <c r="A308" s="8" t="s">
        <v>281</v>
      </c>
      <c r="B308">
        <v>2017</v>
      </c>
      <c r="C308" s="8" t="s">
        <v>281</v>
      </c>
      <c r="D308" t="s">
        <v>286</v>
      </c>
      <c r="E308" s="7">
        <v>1.4999999999999999E-2</v>
      </c>
      <c r="F308" s="7"/>
      <c r="G308" s="7"/>
      <c r="H308" s="7"/>
      <c r="I308" s="7" t="s">
        <v>283</v>
      </c>
      <c r="K308" s="6">
        <f t="shared" si="4"/>
        <v>1.4999999999999999E-2</v>
      </c>
    </row>
    <row r="309" spans="1:11" x14ac:dyDescent="0.2">
      <c r="A309" s="8" t="s">
        <v>281</v>
      </c>
      <c r="B309">
        <v>2018</v>
      </c>
      <c r="C309" s="8" t="s">
        <v>281</v>
      </c>
      <c r="D309" t="s">
        <v>286</v>
      </c>
      <c r="E309" s="7">
        <v>1.4999999999999999E-2</v>
      </c>
      <c r="F309" s="7"/>
      <c r="G309" s="7"/>
      <c r="H309" s="7"/>
      <c r="I309" s="7" t="s">
        <v>283</v>
      </c>
      <c r="K309" s="6">
        <f t="shared" si="4"/>
        <v>1.4999999999999999E-2</v>
      </c>
    </row>
    <row r="310" spans="1:11" x14ac:dyDescent="0.2">
      <c r="A310" t="s">
        <v>281</v>
      </c>
      <c r="B310">
        <v>2018</v>
      </c>
      <c r="C310" s="8" t="s">
        <v>281</v>
      </c>
      <c r="D310" t="s">
        <v>286</v>
      </c>
      <c r="E310" s="7">
        <v>1.4999999999999999E-2</v>
      </c>
      <c r="F310" s="7"/>
      <c r="G310" s="7"/>
      <c r="H310" s="7"/>
      <c r="I310" s="7" t="s">
        <v>283</v>
      </c>
      <c r="K310" s="6">
        <f t="shared" si="4"/>
        <v>1.4999999999999999E-2</v>
      </c>
    </row>
    <row r="311" spans="1:11" x14ac:dyDescent="0.2">
      <c r="A311" t="s">
        <v>281</v>
      </c>
      <c r="B311">
        <v>2018</v>
      </c>
      <c r="C311" t="s">
        <v>286</v>
      </c>
      <c r="D311" t="s">
        <v>286</v>
      </c>
      <c r="E311" s="7">
        <v>1.4999999999999999E-2</v>
      </c>
      <c r="F311" s="7"/>
      <c r="G311" s="7"/>
      <c r="H311" s="7"/>
      <c r="I311" s="7" t="s">
        <v>283</v>
      </c>
      <c r="K311" s="6">
        <f t="shared" si="4"/>
        <v>1.4999999999999999E-2</v>
      </c>
    </row>
    <row r="312" spans="1:11" x14ac:dyDescent="0.2">
      <c r="A312" t="s">
        <v>281</v>
      </c>
      <c r="B312">
        <v>2019</v>
      </c>
      <c r="C312" t="s">
        <v>286</v>
      </c>
      <c r="D312" t="s">
        <v>286</v>
      </c>
      <c r="E312" s="7">
        <v>1.4999999999999999E-2</v>
      </c>
      <c r="F312" s="7"/>
      <c r="G312" s="7"/>
      <c r="H312" s="7"/>
      <c r="I312" s="7" t="s">
        <v>283</v>
      </c>
      <c r="K312" s="6">
        <f t="shared" si="4"/>
        <v>1.4999999999999999E-2</v>
      </c>
    </row>
    <row r="313" spans="1:11" x14ac:dyDescent="0.2">
      <c r="A313" s="8" t="s">
        <v>281</v>
      </c>
      <c r="B313">
        <v>2018</v>
      </c>
      <c r="C313" s="8" t="s">
        <v>281</v>
      </c>
      <c r="D313" t="s">
        <v>289</v>
      </c>
      <c r="E313" s="7">
        <v>1.4999999999999999E-2</v>
      </c>
      <c r="F313" s="7"/>
      <c r="G313" s="7"/>
      <c r="H313" s="7"/>
      <c r="I313" s="7" t="s">
        <v>283</v>
      </c>
      <c r="K313" s="6">
        <f t="shared" si="4"/>
        <v>1.4999999999999999E-2</v>
      </c>
    </row>
    <row r="314" spans="1:11" x14ac:dyDescent="0.2">
      <c r="A314" t="s">
        <v>281</v>
      </c>
      <c r="B314">
        <v>2018</v>
      </c>
      <c r="C314" t="s">
        <v>289</v>
      </c>
      <c r="D314" t="s">
        <v>289</v>
      </c>
      <c r="E314" s="7">
        <v>1.4999999999999999E-2</v>
      </c>
      <c r="F314" s="7"/>
      <c r="G314" s="7"/>
      <c r="H314" s="7"/>
      <c r="I314" s="7" t="s">
        <v>283</v>
      </c>
      <c r="K314" s="6">
        <f t="shared" si="4"/>
        <v>1.4999999999999999E-2</v>
      </c>
    </row>
    <row r="315" spans="1:11" x14ac:dyDescent="0.2">
      <c r="A315" t="s">
        <v>281</v>
      </c>
      <c r="B315">
        <v>2019</v>
      </c>
      <c r="C315" t="s">
        <v>289</v>
      </c>
      <c r="D315" t="s">
        <v>289</v>
      </c>
      <c r="E315" s="7">
        <v>1.4999999999999999E-2</v>
      </c>
      <c r="F315" s="7"/>
      <c r="G315" s="7"/>
      <c r="H315" s="7"/>
      <c r="I315" s="7" t="s">
        <v>283</v>
      </c>
      <c r="K315" s="6">
        <f t="shared" si="4"/>
        <v>1.4999999999999999E-2</v>
      </c>
    </row>
    <row r="316" spans="1:11" x14ac:dyDescent="0.2">
      <c r="A316" s="8" t="s">
        <v>281</v>
      </c>
      <c r="B316">
        <v>2018</v>
      </c>
      <c r="C316" s="8" t="s">
        <v>281</v>
      </c>
      <c r="D316" t="s">
        <v>290</v>
      </c>
      <c r="E316" s="7">
        <v>1.4999999999999999E-2</v>
      </c>
      <c r="F316" s="7"/>
      <c r="G316" s="7"/>
      <c r="H316" s="7"/>
      <c r="I316" s="7" t="s">
        <v>283</v>
      </c>
      <c r="K316" s="6">
        <f t="shared" si="4"/>
        <v>1.4999999999999999E-2</v>
      </c>
    </row>
    <row r="317" spans="1:11" x14ac:dyDescent="0.2">
      <c r="A317" t="s">
        <v>281</v>
      </c>
      <c r="B317">
        <v>2018</v>
      </c>
      <c r="C317" t="s">
        <v>290</v>
      </c>
      <c r="D317" t="s">
        <v>290</v>
      </c>
      <c r="E317" s="7">
        <v>1.4999999999999999E-2</v>
      </c>
      <c r="F317" s="7"/>
      <c r="G317" s="7"/>
      <c r="H317" s="7"/>
      <c r="I317" s="7" t="s">
        <v>283</v>
      </c>
      <c r="K317" s="6">
        <f t="shared" si="4"/>
        <v>1.4999999999999999E-2</v>
      </c>
    </row>
    <row r="318" spans="1:11" x14ac:dyDescent="0.2">
      <c r="A318" t="s">
        <v>281</v>
      </c>
      <c r="B318">
        <v>2019</v>
      </c>
      <c r="C318" t="s">
        <v>290</v>
      </c>
      <c r="D318" t="s">
        <v>290</v>
      </c>
      <c r="E318" s="7">
        <v>1.4999999999999999E-2</v>
      </c>
      <c r="F318" s="7"/>
      <c r="G318" s="7"/>
      <c r="H318" s="7"/>
      <c r="I318" s="7" t="s">
        <v>283</v>
      </c>
      <c r="K318" s="6">
        <f t="shared" si="4"/>
        <v>1.4999999999999999E-2</v>
      </c>
    </row>
    <row r="319" spans="1:11" x14ac:dyDescent="0.2">
      <c r="A319" s="8" t="s">
        <v>281</v>
      </c>
      <c r="B319">
        <v>2012</v>
      </c>
      <c r="C319" s="8" t="s">
        <v>281</v>
      </c>
      <c r="D319" t="s">
        <v>291</v>
      </c>
      <c r="E319" s="7">
        <v>1.4999999999999999E-2</v>
      </c>
      <c r="F319" s="7"/>
      <c r="G319" s="7"/>
      <c r="H319" s="7"/>
      <c r="I319" s="7" t="s">
        <v>283</v>
      </c>
      <c r="K319" s="6">
        <f t="shared" si="4"/>
        <v>1.4999999999999999E-2</v>
      </c>
    </row>
    <row r="320" spans="1:11" x14ac:dyDescent="0.2">
      <c r="A320" s="8" t="s">
        <v>281</v>
      </c>
      <c r="B320">
        <v>2017</v>
      </c>
      <c r="C320" s="8" t="s">
        <v>281</v>
      </c>
      <c r="D320" t="s">
        <v>292</v>
      </c>
      <c r="E320" s="7">
        <v>1.4999999999999999E-2</v>
      </c>
      <c r="F320" s="7"/>
      <c r="G320" s="7"/>
      <c r="H320" s="7"/>
      <c r="I320" s="7" t="s">
        <v>283</v>
      </c>
      <c r="K320" s="6">
        <f t="shared" si="4"/>
        <v>1.4999999999999999E-2</v>
      </c>
    </row>
    <row r="321" spans="1:11" x14ac:dyDescent="0.2">
      <c r="A321" t="s">
        <v>281</v>
      </c>
      <c r="B321">
        <v>2010</v>
      </c>
      <c r="C321" t="s">
        <v>293</v>
      </c>
      <c r="D321" t="s">
        <v>293</v>
      </c>
      <c r="E321" s="7">
        <v>1.4999999999999999E-2</v>
      </c>
      <c r="F321" s="7"/>
      <c r="G321" s="7"/>
      <c r="H321" s="7"/>
      <c r="I321" s="7" t="s">
        <v>283</v>
      </c>
      <c r="K321" s="6">
        <f t="shared" si="4"/>
        <v>1.4999999999999999E-2</v>
      </c>
    </row>
    <row r="322" spans="1:11" x14ac:dyDescent="0.2">
      <c r="A322" t="s">
        <v>281</v>
      </c>
      <c r="B322">
        <v>2011</v>
      </c>
      <c r="C322" t="s">
        <v>293</v>
      </c>
      <c r="D322" t="s">
        <v>293</v>
      </c>
      <c r="E322" s="7">
        <v>1.4999999999999999E-2</v>
      </c>
      <c r="F322" s="7"/>
      <c r="G322" s="7"/>
      <c r="H322" s="7"/>
      <c r="I322" s="7" t="s">
        <v>283</v>
      </c>
      <c r="K322" s="6">
        <f t="shared" ref="K322:K385" si="5">SUM(E322:H322)</f>
        <v>1.4999999999999999E-2</v>
      </c>
    </row>
    <row r="323" spans="1:11" x14ac:dyDescent="0.2">
      <c r="A323" t="s">
        <v>281</v>
      </c>
      <c r="B323">
        <v>2013</v>
      </c>
      <c r="C323" t="s">
        <v>293</v>
      </c>
      <c r="D323" t="s">
        <v>293</v>
      </c>
      <c r="E323" s="7">
        <v>1.4999999999999999E-2</v>
      </c>
      <c r="F323" s="7"/>
      <c r="G323" s="7"/>
      <c r="H323" s="7"/>
      <c r="I323" s="7" t="s">
        <v>283</v>
      </c>
      <c r="K323" s="6">
        <f t="shared" si="5"/>
        <v>1.4999999999999999E-2</v>
      </c>
    </row>
    <row r="324" spans="1:11" x14ac:dyDescent="0.2">
      <c r="A324" t="s">
        <v>281</v>
      </c>
      <c r="B324">
        <v>2014</v>
      </c>
      <c r="C324" t="s">
        <v>293</v>
      </c>
      <c r="D324" t="s">
        <v>293</v>
      </c>
      <c r="E324" s="7">
        <v>1.4999999999999999E-2</v>
      </c>
      <c r="F324" s="7"/>
      <c r="G324" s="7"/>
      <c r="H324" s="7"/>
      <c r="I324" s="7" t="s">
        <v>283</v>
      </c>
      <c r="K324" s="6">
        <f t="shared" si="5"/>
        <v>1.4999999999999999E-2</v>
      </c>
    </row>
    <row r="325" spans="1:11" x14ac:dyDescent="0.2">
      <c r="A325" t="s">
        <v>281</v>
      </c>
      <c r="B325">
        <v>2015</v>
      </c>
      <c r="C325" t="s">
        <v>293</v>
      </c>
      <c r="D325" t="s">
        <v>293</v>
      </c>
      <c r="E325" s="7">
        <v>1.4999999999999999E-2</v>
      </c>
      <c r="F325" s="7"/>
      <c r="G325" s="7"/>
      <c r="H325" s="7"/>
      <c r="I325" s="7" t="s">
        <v>283</v>
      </c>
      <c r="K325" s="6">
        <f t="shared" si="5"/>
        <v>1.4999999999999999E-2</v>
      </c>
    </row>
    <row r="326" spans="1:11" x14ac:dyDescent="0.2">
      <c r="A326" s="8" t="s">
        <v>281</v>
      </c>
      <c r="B326">
        <v>2017</v>
      </c>
      <c r="C326" s="8" t="s">
        <v>281</v>
      </c>
      <c r="D326" t="s">
        <v>293</v>
      </c>
      <c r="E326" s="7">
        <v>1.4999999999999999E-2</v>
      </c>
      <c r="F326" s="7"/>
      <c r="G326" s="7"/>
      <c r="H326" s="7"/>
      <c r="I326" s="7" t="s">
        <v>283</v>
      </c>
      <c r="K326" s="6">
        <f t="shared" si="5"/>
        <v>1.4999999999999999E-2</v>
      </c>
    </row>
    <row r="327" spans="1:11" x14ac:dyDescent="0.2">
      <c r="A327" t="s">
        <v>281</v>
      </c>
      <c r="B327">
        <v>2011</v>
      </c>
      <c r="C327" t="s">
        <v>293</v>
      </c>
      <c r="D327" t="s">
        <v>294</v>
      </c>
      <c r="E327" s="7">
        <v>1.4999999999999999E-2</v>
      </c>
      <c r="F327" s="7"/>
      <c r="G327" s="7"/>
      <c r="H327" s="7"/>
      <c r="I327" s="7" t="s">
        <v>283</v>
      </c>
      <c r="K327" s="6">
        <f t="shared" si="5"/>
        <v>1.4999999999999999E-2</v>
      </c>
    </row>
    <row r="328" spans="1:11" x14ac:dyDescent="0.2">
      <c r="A328" t="s">
        <v>281</v>
      </c>
      <c r="B328">
        <v>2013</v>
      </c>
      <c r="C328" t="s">
        <v>293</v>
      </c>
      <c r="D328" t="s">
        <v>294</v>
      </c>
      <c r="E328" s="7">
        <v>1.4999999999999999E-2</v>
      </c>
      <c r="F328" s="7"/>
      <c r="G328" s="7"/>
      <c r="H328" s="7"/>
      <c r="I328" s="7" t="s">
        <v>283</v>
      </c>
      <c r="K328" s="6">
        <f t="shared" si="5"/>
        <v>1.4999999999999999E-2</v>
      </c>
    </row>
    <row r="329" spans="1:11" x14ac:dyDescent="0.2">
      <c r="A329" t="s">
        <v>281</v>
      </c>
      <c r="B329">
        <v>2014</v>
      </c>
      <c r="C329" t="s">
        <v>293</v>
      </c>
      <c r="D329" t="s">
        <v>294</v>
      </c>
      <c r="E329" s="7">
        <v>1.4999999999999999E-2</v>
      </c>
      <c r="F329" s="7"/>
      <c r="G329" s="7"/>
      <c r="H329" s="7"/>
      <c r="I329" s="7" t="s">
        <v>283</v>
      </c>
      <c r="K329" s="6">
        <f t="shared" si="5"/>
        <v>1.4999999999999999E-2</v>
      </c>
    </row>
    <row r="330" spans="1:11" x14ac:dyDescent="0.2">
      <c r="A330" t="s">
        <v>281</v>
      </c>
      <c r="B330">
        <v>2015</v>
      </c>
      <c r="C330" t="s">
        <v>293</v>
      </c>
      <c r="D330" t="s">
        <v>294</v>
      </c>
      <c r="E330" s="7">
        <v>1.4999999999999999E-2</v>
      </c>
      <c r="F330" s="7"/>
      <c r="G330" s="7"/>
      <c r="H330" s="7"/>
      <c r="I330" s="7" t="s">
        <v>283</v>
      </c>
      <c r="K330" s="6">
        <f t="shared" si="5"/>
        <v>1.4999999999999999E-2</v>
      </c>
    </row>
    <row r="331" spans="1:11" x14ac:dyDescent="0.2">
      <c r="A331" t="s">
        <v>281</v>
      </c>
      <c r="B331">
        <v>2016</v>
      </c>
      <c r="C331" t="s">
        <v>295</v>
      </c>
      <c r="D331" t="s">
        <v>295</v>
      </c>
      <c r="E331" s="7">
        <v>1.4999999999999999E-2</v>
      </c>
      <c r="F331" s="7"/>
      <c r="G331" s="7"/>
      <c r="H331" s="7"/>
      <c r="I331" s="7" t="s">
        <v>283</v>
      </c>
      <c r="K331" s="6">
        <f t="shared" si="5"/>
        <v>1.4999999999999999E-2</v>
      </c>
    </row>
    <row r="332" spans="1:11" x14ac:dyDescent="0.2">
      <c r="A332" t="s">
        <v>281</v>
      </c>
      <c r="B332">
        <v>2012</v>
      </c>
      <c r="C332" t="s">
        <v>293</v>
      </c>
      <c r="D332" t="s">
        <v>296</v>
      </c>
      <c r="E332" s="7">
        <v>1.4999999999999999E-2</v>
      </c>
      <c r="F332" s="7"/>
      <c r="G332" s="7"/>
      <c r="H332" s="7"/>
      <c r="I332" s="7" t="s">
        <v>283</v>
      </c>
      <c r="K332" s="6">
        <f t="shared" si="5"/>
        <v>1.4999999999999999E-2</v>
      </c>
    </row>
    <row r="333" spans="1:11" x14ac:dyDescent="0.2">
      <c r="A333" t="s">
        <v>281</v>
      </c>
      <c r="B333">
        <v>2014</v>
      </c>
      <c r="C333" t="s">
        <v>286</v>
      </c>
      <c r="D333" t="s">
        <v>297</v>
      </c>
      <c r="E333" s="7">
        <v>1.4999999999999999E-2</v>
      </c>
      <c r="F333" s="7"/>
      <c r="G333" s="7"/>
      <c r="H333" s="7"/>
      <c r="I333" s="7" t="s">
        <v>283</v>
      </c>
      <c r="K333" s="6">
        <f t="shared" si="5"/>
        <v>1.4999999999999999E-2</v>
      </c>
    </row>
    <row r="334" spans="1:11" x14ac:dyDescent="0.2">
      <c r="A334" t="s">
        <v>281</v>
      </c>
      <c r="B334">
        <v>2016</v>
      </c>
      <c r="C334" t="s">
        <v>286</v>
      </c>
      <c r="D334" t="s">
        <v>297</v>
      </c>
      <c r="E334" s="7">
        <v>1.4999999999999999E-2</v>
      </c>
      <c r="F334" s="7"/>
      <c r="G334" s="7"/>
      <c r="H334" s="7"/>
      <c r="I334" s="7" t="s">
        <v>283</v>
      </c>
      <c r="K334" s="6">
        <f t="shared" si="5"/>
        <v>1.4999999999999999E-2</v>
      </c>
    </row>
    <row r="335" spans="1:11" x14ac:dyDescent="0.2">
      <c r="A335" t="s">
        <v>281</v>
      </c>
      <c r="B335">
        <v>2011</v>
      </c>
      <c r="C335" t="s">
        <v>293</v>
      </c>
      <c r="D335" t="s">
        <v>298</v>
      </c>
      <c r="E335" s="7">
        <v>1.4999999999999999E-2</v>
      </c>
      <c r="F335" s="7"/>
      <c r="G335" s="7"/>
      <c r="H335" s="7"/>
      <c r="I335" s="7" t="s">
        <v>283</v>
      </c>
      <c r="K335" s="6">
        <f t="shared" si="5"/>
        <v>1.4999999999999999E-2</v>
      </c>
    </row>
    <row r="336" spans="1:11" x14ac:dyDescent="0.2">
      <c r="A336" s="8" t="s">
        <v>281</v>
      </c>
      <c r="B336">
        <v>2017</v>
      </c>
      <c r="C336" s="8" t="s">
        <v>281</v>
      </c>
      <c r="D336" t="s">
        <v>298</v>
      </c>
      <c r="E336" s="7">
        <v>1.4999999999999999E-2</v>
      </c>
      <c r="F336" s="7"/>
      <c r="G336" s="7"/>
      <c r="H336" s="7"/>
      <c r="I336" s="7" t="s">
        <v>283</v>
      </c>
      <c r="K336" s="6">
        <f t="shared" si="5"/>
        <v>1.4999999999999999E-2</v>
      </c>
    </row>
    <row r="337" spans="1:11" x14ac:dyDescent="0.2">
      <c r="A337" t="s">
        <v>281</v>
      </c>
      <c r="B337">
        <v>2012</v>
      </c>
      <c r="C337" t="s">
        <v>286</v>
      </c>
      <c r="D337" t="s">
        <v>299</v>
      </c>
      <c r="E337" s="7">
        <v>1.4999999999999999E-2</v>
      </c>
      <c r="F337" s="7"/>
      <c r="G337" s="7"/>
      <c r="H337" s="7"/>
      <c r="I337" s="7" t="s">
        <v>283</v>
      </c>
      <c r="K337" s="6">
        <f t="shared" si="5"/>
        <v>1.4999999999999999E-2</v>
      </c>
    </row>
    <row r="338" spans="1:11" x14ac:dyDescent="0.2">
      <c r="A338" t="s">
        <v>281</v>
      </c>
      <c r="B338">
        <v>2016</v>
      </c>
      <c r="C338" t="s">
        <v>299</v>
      </c>
      <c r="D338" t="s">
        <v>299</v>
      </c>
      <c r="E338" s="7">
        <v>1.4999999999999999E-2</v>
      </c>
      <c r="F338" s="7"/>
      <c r="G338" s="7"/>
      <c r="H338" s="7"/>
      <c r="I338" s="7" t="s">
        <v>283</v>
      </c>
      <c r="K338" s="6">
        <f t="shared" si="5"/>
        <v>1.4999999999999999E-2</v>
      </c>
    </row>
    <row r="339" spans="1:11" x14ac:dyDescent="0.2">
      <c r="A339" t="s">
        <v>281</v>
      </c>
      <c r="B339">
        <v>2018</v>
      </c>
      <c r="C339" t="s">
        <v>300</v>
      </c>
      <c r="D339" t="s">
        <v>300</v>
      </c>
      <c r="E339" s="7">
        <v>1.4999999999999999E-2</v>
      </c>
      <c r="F339" s="7"/>
      <c r="G339" s="7"/>
      <c r="H339" s="7"/>
      <c r="I339" s="7" t="s">
        <v>283</v>
      </c>
      <c r="K339" s="6">
        <f t="shared" si="5"/>
        <v>1.4999999999999999E-2</v>
      </c>
    </row>
    <row r="340" spans="1:11" x14ac:dyDescent="0.2">
      <c r="A340" t="s">
        <v>281</v>
      </c>
      <c r="B340">
        <v>2018</v>
      </c>
      <c r="C340" t="s">
        <v>300</v>
      </c>
      <c r="D340" t="s">
        <v>300</v>
      </c>
      <c r="E340" s="7">
        <v>1.4999999999999999E-2</v>
      </c>
      <c r="F340" s="7"/>
      <c r="G340" s="7"/>
      <c r="H340" s="7"/>
      <c r="I340" s="7" t="s">
        <v>283</v>
      </c>
      <c r="K340" s="6">
        <f t="shared" si="5"/>
        <v>1.4999999999999999E-2</v>
      </c>
    </row>
    <row r="341" spans="1:11" x14ac:dyDescent="0.2">
      <c r="A341" t="s">
        <v>281</v>
      </c>
      <c r="B341">
        <v>2016</v>
      </c>
      <c r="C341" t="s">
        <v>301</v>
      </c>
      <c r="D341" t="s">
        <v>301</v>
      </c>
      <c r="E341" s="7">
        <v>1.4999999999999999E-2</v>
      </c>
      <c r="F341" s="7"/>
      <c r="G341" s="7"/>
      <c r="H341" s="7"/>
      <c r="I341" s="7" t="s">
        <v>283</v>
      </c>
      <c r="K341" s="6">
        <f t="shared" si="5"/>
        <v>1.4999999999999999E-2</v>
      </c>
    </row>
    <row r="342" spans="1:11" x14ac:dyDescent="0.2">
      <c r="A342" t="s">
        <v>281</v>
      </c>
      <c r="B342">
        <v>2016</v>
      </c>
      <c r="C342" t="s">
        <v>302</v>
      </c>
      <c r="D342" t="s">
        <v>302</v>
      </c>
      <c r="E342" s="7">
        <v>1.4999999999999999E-2</v>
      </c>
      <c r="F342" s="7"/>
      <c r="G342" s="7"/>
      <c r="H342" s="7"/>
      <c r="I342" s="7" t="s">
        <v>283</v>
      </c>
      <c r="K342" s="6">
        <f t="shared" si="5"/>
        <v>1.4999999999999999E-2</v>
      </c>
    </row>
    <row r="343" spans="1:11" x14ac:dyDescent="0.2">
      <c r="A343" s="8" t="s">
        <v>281</v>
      </c>
      <c r="B343">
        <v>2018</v>
      </c>
      <c r="C343" s="8" t="s">
        <v>281</v>
      </c>
      <c r="D343" t="s">
        <v>303</v>
      </c>
      <c r="E343" s="7">
        <v>1.4999999999999999E-2</v>
      </c>
      <c r="F343" s="7"/>
      <c r="G343" s="7"/>
      <c r="H343" s="7"/>
      <c r="I343" s="7" t="s">
        <v>283</v>
      </c>
      <c r="K343" s="6">
        <f t="shared" si="5"/>
        <v>1.4999999999999999E-2</v>
      </c>
    </row>
    <row r="344" spans="1:11" x14ac:dyDescent="0.2">
      <c r="A344" t="s">
        <v>281</v>
      </c>
      <c r="B344">
        <v>2018</v>
      </c>
      <c r="C344" s="8" t="s">
        <v>281</v>
      </c>
      <c r="D344" t="s">
        <v>303</v>
      </c>
      <c r="E344" s="7">
        <v>1.4999999999999999E-2</v>
      </c>
      <c r="F344" s="7"/>
      <c r="G344" s="7"/>
      <c r="H344" s="7"/>
      <c r="I344" s="7" t="s">
        <v>283</v>
      </c>
      <c r="K344" s="6">
        <f t="shared" si="5"/>
        <v>1.4999999999999999E-2</v>
      </c>
    </row>
    <row r="345" spans="1:11" x14ac:dyDescent="0.2">
      <c r="A345" t="s">
        <v>281</v>
      </c>
      <c r="B345">
        <v>2019</v>
      </c>
      <c r="C345" t="s">
        <v>303</v>
      </c>
      <c r="D345" t="s">
        <v>303</v>
      </c>
      <c r="E345" s="7">
        <v>1.4999999999999999E-2</v>
      </c>
      <c r="F345" s="7"/>
      <c r="G345" s="7"/>
      <c r="H345" s="7"/>
      <c r="I345" s="7" t="s">
        <v>283</v>
      </c>
      <c r="K345" s="6">
        <f t="shared" si="5"/>
        <v>1.4999999999999999E-2</v>
      </c>
    </row>
    <row r="346" spans="1:11" x14ac:dyDescent="0.2">
      <c r="A346" t="s">
        <v>281</v>
      </c>
      <c r="B346">
        <v>2012</v>
      </c>
      <c r="C346" t="s">
        <v>286</v>
      </c>
      <c r="D346" t="s">
        <v>304</v>
      </c>
      <c r="E346" s="7">
        <v>1.4999999999999999E-2</v>
      </c>
      <c r="F346" s="7"/>
      <c r="G346" s="7"/>
      <c r="H346" s="7"/>
      <c r="I346" s="7" t="s">
        <v>283</v>
      </c>
      <c r="K346" s="6">
        <f t="shared" si="5"/>
        <v>1.4999999999999999E-2</v>
      </c>
    </row>
    <row r="347" spans="1:11" x14ac:dyDescent="0.2">
      <c r="A347" s="8" t="s">
        <v>281</v>
      </c>
      <c r="B347">
        <v>2018</v>
      </c>
      <c r="C347" s="8" t="s">
        <v>281</v>
      </c>
      <c r="D347" t="s">
        <v>305</v>
      </c>
      <c r="E347" s="7">
        <v>1.4999999999999999E-2</v>
      </c>
      <c r="F347" s="7"/>
      <c r="G347" s="7"/>
      <c r="H347" s="7"/>
      <c r="I347" s="7" t="s">
        <v>283</v>
      </c>
      <c r="K347" s="6">
        <f t="shared" si="5"/>
        <v>1.4999999999999999E-2</v>
      </c>
    </row>
    <row r="348" spans="1:11" x14ac:dyDescent="0.2">
      <c r="A348" t="s">
        <v>281</v>
      </c>
      <c r="B348">
        <v>2018</v>
      </c>
      <c r="C348" s="8" t="s">
        <v>281</v>
      </c>
      <c r="D348" t="s">
        <v>305</v>
      </c>
      <c r="E348" s="7">
        <v>1.4999999999999999E-2</v>
      </c>
      <c r="F348" s="7"/>
      <c r="G348" s="7"/>
      <c r="H348" s="7"/>
      <c r="I348" s="7" t="s">
        <v>283</v>
      </c>
      <c r="K348" s="6">
        <f t="shared" si="5"/>
        <v>1.4999999999999999E-2</v>
      </c>
    </row>
    <row r="349" spans="1:11" x14ac:dyDescent="0.2">
      <c r="A349" t="s">
        <v>281</v>
      </c>
      <c r="B349">
        <v>2019</v>
      </c>
      <c r="C349" t="s">
        <v>286</v>
      </c>
      <c r="D349" t="s">
        <v>305</v>
      </c>
      <c r="E349" s="7">
        <v>1.4999999999999999E-2</v>
      </c>
      <c r="F349" s="7"/>
      <c r="G349" s="7"/>
      <c r="H349" s="7"/>
      <c r="I349" s="7" t="s">
        <v>283</v>
      </c>
      <c r="K349" s="6">
        <f t="shared" si="5"/>
        <v>1.4999999999999999E-2</v>
      </c>
    </row>
    <row r="350" spans="1:11" x14ac:dyDescent="0.2">
      <c r="A350" s="8" t="s">
        <v>281</v>
      </c>
      <c r="B350">
        <v>2016</v>
      </c>
      <c r="C350" s="8" t="s">
        <v>281</v>
      </c>
      <c r="D350" t="s">
        <v>306</v>
      </c>
      <c r="E350" s="7">
        <v>1.4999999999999999E-2</v>
      </c>
      <c r="F350" s="7"/>
      <c r="G350" s="7"/>
      <c r="H350" s="7"/>
      <c r="I350" s="7" t="s">
        <v>283</v>
      </c>
      <c r="K350" s="6">
        <f t="shared" si="5"/>
        <v>1.4999999999999999E-2</v>
      </c>
    </row>
    <row r="351" spans="1:11" x14ac:dyDescent="0.2">
      <c r="A351" s="8" t="s">
        <v>281</v>
      </c>
      <c r="B351">
        <v>2017</v>
      </c>
      <c r="C351" s="8" t="s">
        <v>281</v>
      </c>
      <c r="D351" t="s">
        <v>307</v>
      </c>
      <c r="E351" s="7">
        <v>1.4999999999999999E-2</v>
      </c>
      <c r="F351" s="7"/>
      <c r="G351" s="7"/>
      <c r="H351" s="7"/>
      <c r="I351" s="7" t="s">
        <v>283</v>
      </c>
      <c r="K351" s="6">
        <f t="shared" si="5"/>
        <v>1.4999999999999999E-2</v>
      </c>
    </row>
    <row r="352" spans="1:11" x14ac:dyDescent="0.2">
      <c r="A352" s="8" t="s">
        <v>281</v>
      </c>
      <c r="B352">
        <v>2018</v>
      </c>
      <c r="C352" s="8" t="s">
        <v>281</v>
      </c>
      <c r="D352" t="s">
        <v>307</v>
      </c>
      <c r="E352" s="7">
        <v>1.4999999999999999E-2</v>
      </c>
      <c r="F352" s="7"/>
      <c r="G352" s="7"/>
      <c r="H352" s="7"/>
      <c r="I352" s="7" t="s">
        <v>283</v>
      </c>
      <c r="K352" s="6">
        <f t="shared" si="5"/>
        <v>1.4999999999999999E-2</v>
      </c>
    </row>
    <row r="353" spans="1:11" x14ac:dyDescent="0.2">
      <c r="A353" s="8" t="s">
        <v>281</v>
      </c>
      <c r="B353">
        <v>2016</v>
      </c>
      <c r="C353" s="8" t="s">
        <v>281</v>
      </c>
      <c r="D353" t="s">
        <v>308</v>
      </c>
      <c r="E353" s="7">
        <v>1.4999999999999999E-2</v>
      </c>
      <c r="F353" s="7"/>
      <c r="G353" s="7"/>
      <c r="H353" s="7"/>
      <c r="I353" s="7" t="s">
        <v>283</v>
      </c>
      <c r="K353" s="6">
        <f t="shared" si="5"/>
        <v>1.4999999999999999E-2</v>
      </c>
    </row>
    <row r="354" spans="1:11" x14ac:dyDescent="0.2">
      <c r="A354" s="8" t="s">
        <v>281</v>
      </c>
      <c r="B354">
        <v>2018</v>
      </c>
      <c r="C354" s="8" t="s">
        <v>281</v>
      </c>
      <c r="D354" t="s">
        <v>308</v>
      </c>
      <c r="E354" s="7">
        <v>1.4999999999999999E-2</v>
      </c>
      <c r="F354" s="7"/>
      <c r="G354" s="7"/>
      <c r="H354" s="7"/>
      <c r="I354" s="7" t="s">
        <v>283</v>
      </c>
      <c r="K354" s="6">
        <f t="shared" si="5"/>
        <v>1.4999999999999999E-2</v>
      </c>
    </row>
    <row r="355" spans="1:11" x14ac:dyDescent="0.2">
      <c r="A355" s="8" t="s">
        <v>281</v>
      </c>
      <c r="B355">
        <v>2017</v>
      </c>
      <c r="C355" s="8" t="s">
        <v>281</v>
      </c>
      <c r="D355" t="s">
        <v>309</v>
      </c>
      <c r="E355" s="7">
        <v>1.4999999999999999E-2</v>
      </c>
      <c r="F355" s="7"/>
      <c r="G355" s="7"/>
      <c r="H355" s="7"/>
      <c r="I355" s="7" t="s">
        <v>283</v>
      </c>
      <c r="K355" s="6">
        <f t="shared" si="5"/>
        <v>1.4999999999999999E-2</v>
      </c>
    </row>
    <row r="356" spans="1:11" x14ac:dyDescent="0.2">
      <c r="A356" s="8" t="s">
        <v>281</v>
      </c>
      <c r="B356">
        <v>2017</v>
      </c>
      <c r="C356" s="8" t="s">
        <v>281</v>
      </c>
      <c r="D356" t="s">
        <v>310</v>
      </c>
      <c r="E356" s="7">
        <v>1.4999999999999999E-2</v>
      </c>
      <c r="F356" s="7"/>
      <c r="G356" s="7"/>
      <c r="H356" s="7"/>
      <c r="I356" s="7" t="s">
        <v>283</v>
      </c>
      <c r="K356" s="6">
        <f t="shared" si="5"/>
        <v>1.4999999999999999E-2</v>
      </c>
    </row>
    <row r="357" spans="1:11" x14ac:dyDescent="0.2">
      <c r="A357" s="8" t="s">
        <v>281</v>
      </c>
      <c r="B357">
        <v>2018</v>
      </c>
      <c r="C357" s="8" t="s">
        <v>281</v>
      </c>
      <c r="D357" t="s">
        <v>310</v>
      </c>
      <c r="E357" s="7">
        <v>1.4999999999999999E-2</v>
      </c>
      <c r="F357" s="7"/>
      <c r="G357" s="7"/>
      <c r="H357" s="7"/>
      <c r="I357" s="7" t="s">
        <v>283</v>
      </c>
      <c r="K357" s="6">
        <f t="shared" si="5"/>
        <v>1.4999999999999999E-2</v>
      </c>
    </row>
    <row r="358" spans="1:11" x14ac:dyDescent="0.2">
      <c r="A358" t="s">
        <v>281</v>
      </c>
      <c r="B358">
        <v>2018</v>
      </c>
      <c r="C358" s="8" t="s">
        <v>281</v>
      </c>
      <c r="D358" t="s">
        <v>310</v>
      </c>
      <c r="E358" s="7">
        <v>1.4999999999999999E-2</v>
      </c>
      <c r="F358" s="7"/>
      <c r="G358" s="7"/>
      <c r="H358" s="7"/>
      <c r="I358" s="7" t="s">
        <v>283</v>
      </c>
      <c r="K358" s="6">
        <f t="shared" si="5"/>
        <v>1.4999999999999999E-2</v>
      </c>
    </row>
    <row r="359" spans="1:11" x14ac:dyDescent="0.2">
      <c r="A359" t="s">
        <v>311</v>
      </c>
      <c r="B359">
        <v>2016</v>
      </c>
      <c r="C359" t="s">
        <v>312</v>
      </c>
      <c r="D359" t="s">
        <v>312</v>
      </c>
      <c r="E359" s="5">
        <v>1</v>
      </c>
      <c r="I359" t="s">
        <v>313</v>
      </c>
      <c r="J359" t="s">
        <v>314</v>
      </c>
      <c r="K359" s="6">
        <f t="shared" si="5"/>
        <v>1</v>
      </c>
    </row>
    <row r="360" spans="1:11" x14ac:dyDescent="0.2">
      <c r="A360" s="8" t="s">
        <v>311</v>
      </c>
      <c r="B360">
        <v>2018</v>
      </c>
      <c r="C360" s="8" t="s">
        <v>311</v>
      </c>
      <c r="D360" t="s">
        <v>312</v>
      </c>
      <c r="E360" s="5">
        <v>1</v>
      </c>
      <c r="I360" t="s">
        <v>313</v>
      </c>
      <c r="J360" t="s">
        <v>315</v>
      </c>
      <c r="K360" s="6">
        <f t="shared" si="5"/>
        <v>1</v>
      </c>
    </row>
    <row r="361" spans="1:11" x14ac:dyDescent="0.2">
      <c r="A361" t="s">
        <v>311</v>
      </c>
      <c r="B361">
        <v>2018</v>
      </c>
      <c r="C361" s="8" t="s">
        <v>311</v>
      </c>
      <c r="D361" t="s">
        <v>312</v>
      </c>
      <c r="E361" s="5">
        <v>1</v>
      </c>
      <c r="I361" t="s">
        <v>313</v>
      </c>
      <c r="J361" t="s">
        <v>315</v>
      </c>
      <c r="K361" s="6">
        <f t="shared" si="5"/>
        <v>1</v>
      </c>
    </row>
    <row r="362" spans="1:11" x14ac:dyDescent="0.2">
      <c r="A362" t="s">
        <v>311</v>
      </c>
      <c r="B362">
        <v>2018</v>
      </c>
      <c r="C362" t="s">
        <v>312</v>
      </c>
      <c r="D362" t="s">
        <v>312</v>
      </c>
      <c r="E362" s="5">
        <v>1</v>
      </c>
      <c r="I362" t="s">
        <v>313</v>
      </c>
      <c r="J362" t="s">
        <v>315</v>
      </c>
      <c r="K362" s="6">
        <f t="shared" si="5"/>
        <v>1</v>
      </c>
    </row>
    <row r="363" spans="1:11" x14ac:dyDescent="0.2">
      <c r="A363" t="s">
        <v>311</v>
      </c>
      <c r="B363">
        <v>2019</v>
      </c>
      <c r="C363" t="s">
        <v>312</v>
      </c>
      <c r="D363" t="s">
        <v>312</v>
      </c>
      <c r="E363" s="5">
        <v>1</v>
      </c>
      <c r="I363" t="s">
        <v>313</v>
      </c>
      <c r="J363" t="s">
        <v>315</v>
      </c>
      <c r="K363" s="6">
        <f t="shared" si="5"/>
        <v>1</v>
      </c>
    </row>
    <row r="364" spans="1:11" x14ac:dyDescent="0.2">
      <c r="A364" t="s">
        <v>316</v>
      </c>
      <c r="B364">
        <v>2010</v>
      </c>
      <c r="C364" t="s">
        <v>317</v>
      </c>
      <c r="D364" t="s">
        <v>318</v>
      </c>
      <c r="E364" s="5">
        <f>(2535704*(1/6))/4522216</f>
        <v>9.3453592958260584E-2</v>
      </c>
      <c r="I364" s="5" t="s">
        <v>319</v>
      </c>
      <c r="J364" t="s">
        <v>320</v>
      </c>
      <c r="K364" s="6">
        <f t="shared" si="5"/>
        <v>9.3453592958260584E-2</v>
      </c>
    </row>
    <row r="365" spans="1:11" x14ac:dyDescent="0.2">
      <c r="A365" t="s">
        <v>316</v>
      </c>
      <c r="B365">
        <v>2012</v>
      </c>
      <c r="C365" t="s">
        <v>321</v>
      </c>
      <c r="D365" t="s">
        <v>318</v>
      </c>
      <c r="E365" s="5">
        <f>(1128126*(1/6))/5019183</f>
        <v>3.7460479125786011E-2</v>
      </c>
      <c r="I365" s="5" t="s">
        <v>319</v>
      </c>
      <c r="J365" t="s">
        <v>322</v>
      </c>
      <c r="K365" s="6">
        <f t="shared" si="5"/>
        <v>3.7460479125786011E-2</v>
      </c>
    </row>
    <row r="366" spans="1:11" x14ac:dyDescent="0.2">
      <c r="A366" t="s">
        <v>316</v>
      </c>
      <c r="B366">
        <v>2015</v>
      </c>
      <c r="C366" t="s">
        <v>318</v>
      </c>
      <c r="D366" t="s">
        <v>318</v>
      </c>
      <c r="E366" s="5">
        <f>(810500*(1/6))/1485046</f>
        <v>9.0962389941680807E-2</v>
      </c>
      <c r="I366" s="5" t="s">
        <v>319</v>
      </c>
      <c r="J366" t="s">
        <v>323</v>
      </c>
      <c r="K366" s="6">
        <f t="shared" si="5"/>
        <v>9.0962389941680807E-2</v>
      </c>
    </row>
    <row r="367" spans="1:11" x14ac:dyDescent="0.2">
      <c r="A367" t="s">
        <v>316</v>
      </c>
      <c r="B367">
        <v>2016</v>
      </c>
      <c r="C367" t="s">
        <v>318</v>
      </c>
      <c r="D367" t="s">
        <v>318</v>
      </c>
      <c r="E367" s="5">
        <f>(659504*(1/6))/1093970</f>
        <v>0.10047563766221498</v>
      </c>
      <c r="I367" s="5" t="s">
        <v>319</v>
      </c>
      <c r="J367" t="s">
        <v>324</v>
      </c>
      <c r="K367" s="6">
        <f t="shared" si="5"/>
        <v>0.10047563766221498</v>
      </c>
    </row>
    <row r="368" spans="1:11" x14ac:dyDescent="0.2">
      <c r="A368" s="8" t="s">
        <v>316</v>
      </c>
      <c r="B368">
        <v>2017</v>
      </c>
      <c r="C368" s="8" t="s">
        <v>316</v>
      </c>
      <c r="D368" t="s">
        <v>318</v>
      </c>
      <c r="E368" s="11">
        <f>(1397128*(1/6))/1840723</f>
        <v>0.12650174234073602</v>
      </c>
      <c r="F368" s="11"/>
      <c r="G368" s="11"/>
      <c r="H368" s="11"/>
      <c r="I368" s="5" t="s">
        <v>319</v>
      </c>
      <c r="J368" t="s">
        <v>324</v>
      </c>
      <c r="K368" s="6">
        <f t="shared" si="5"/>
        <v>0.12650174234073602</v>
      </c>
    </row>
    <row r="369" spans="1:11" x14ac:dyDescent="0.2">
      <c r="A369" s="8" t="s">
        <v>316</v>
      </c>
      <c r="B369">
        <v>2018</v>
      </c>
      <c r="C369" s="8" t="s">
        <v>316</v>
      </c>
      <c r="D369" t="s">
        <v>318</v>
      </c>
      <c r="E369" s="12">
        <f>(1650761*(1/6))/(1650761+178492+579491+80483)</f>
        <v>0.11052701635219822</v>
      </c>
      <c r="F369" s="12"/>
      <c r="G369" s="12"/>
      <c r="H369" s="12"/>
      <c r="I369" s="7" t="s">
        <v>319</v>
      </c>
      <c r="J369" t="s">
        <v>325</v>
      </c>
      <c r="K369" s="6">
        <f t="shared" si="5"/>
        <v>0.11052701635219822</v>
      </c>
    </row>
    <row r="370" spans="1:11" x14ac:dyDescent="0.2">
      <c r="A370" t="s">
        <v>316</v>
      </c>
      <c r="B370">
        <v>2018</v>
      </c>
      <c r="C370" s="8" t="s">
        <v>316</v>
      </c>
      <c r="D370" t="s">
        <v>318</v>
      </c>
      <c r="E370" s="12">
        <f>(1650761*(1/6))/(1650761+178492+579491+80483)</f>
        <v>0.11052701635219822</v>
      </c>
      <c r="F370" s="12"/>
      <c r="G370" s="12"/>
      <c r="H370" s="12"/>
      <c r="I370" s="7" t="s">
        <v>319</v>
      </c>
      <c r="J370" t="s">
        <v>325</v>
      </c>
      <c r="K370" s="6">
        <f t="shared" si="5"/>
        <v>0.11052701635219822</v>
      </c>
    </row>
    <row r="371" spans="1:11" x14ac:dyDescent="0.2">
      <c r="A371" t="s">
        <v>316</v>
      </c>
      <c r="B371">
        <v>2018</v>
      </c>
      <c r="C371" t="s">
        <v>326</v>
      </c>
      <c r="D371" t="s">
        <v>326</v>
      </c>
      <c r="E371" s="12">
        <f>(1650761*(1/6))/(1650761+178492+579491+80483)</f>
        <v>0.11052701635219822</v>
      </c>
      <c r="F371" s="12"/>
      <c r="G371" s="12"/>
      <c r="H371" s="12"/>
      <c r="I371" s="7" t="s">
        <v>319</v>
      </c>
      <c r="J371" t="s">
        <v>325</v>
      </c>
      <c r="K371" s="6">
        <f t="shared" si="5"/>
        <v>0.11052701635219822</v>
      </c>
    </row>
    <row r="372" spans="1:11" x14ac:dyDescent="0.2">
      <c r="A372" s="9" t="s">
        <v>316</v>
      </c>
      <c r="B372" s="9">
        <v>2019</v>
      </c>
      <c r="C372" s="9" t="s">
        <v>318</v>
      </c>
      <c r="D372" s="9" t="s">
        <v>318</v>
      </c>
      <c r="E372" s="13">
        <f>(1650761*(1/6))/(1650761+178492+579491+80483)</f>
        <v>0.11052701635219822</v>
      </c>
      <c r="F372" s="13"/>
      <c r="G372" s="13"/>
      <c r="H372" s="13"/>
      <c r="I372" s="10" t="s">
        <v>319</v>
      </c>
      <c r="J372" s="9" t="s">
        <v>325</v>
      </c>
      <c r="K372" s="6">
        <f t="shared" si="5"/>
        <v>0.11052701635219822</v>
      </c>
    </row>
    <row r="373" spans="1:11" x14ac:dyDescent="0.2">
      <c r="A373" t="s">
        <v>316</v>
      </c>
      <c r="B373">
        <v>2014</v>
      </c>
      <c r="C373" t="s">
        <v>327</v>
      </c>
      <c r="D373" t="s">
        <v>328</v>
      </c>
      <c r="E373" s="7">
        <f>(1238163*(1/6))/2087757</f>
        <v>9.8843160386960741E-2</v>
      </c>
      <c r="F373" s="7"/>
      <c r="G373" s="7"/>
      <c r="H373" s="7"/>
      <c r="I373" s="7" t="s">
        <v>319</v>
      </c>
      <c r="J373" t="s">
        <v>329</v>
      </c>
      <c r="K373" s="6">
        <f t="shared" si="5"/>
        <v>9.8843160386960741E-2</v>
      </c>
    </row>
    <row r="374" spans="1:11" x14ac:dyDescent="0.2">
      <c r="A374" s="8" t="s">
        <v>316</v>
      </c>
      <c r="B374">
        <v>2018</v>
      </c>
      <c r="C374" s="8" t="s">
        <v>316</v>
      </c>
      <c r="D374" t="s">
        <v>330</v>
      </c>
      <c r="E374" s="12">
        <f>(1650761*(1/6))/(1650761+178492+579491+80483)</f>
        <v>0.11052701635219822</v>
      </c>
      <c r="F374" s="12"/>
      <c r="G374" s="12"/>
      <c r="H374" s="12"/>
      <c r="I374" s="7" t="s">
        <v>319</v>
      </c>
      <c r="J374" t="s">
        <v>325</v>
      </c>
      <c r="K374" s="6">
        <f t="shared" si="5"/>
        <v>0.11052701635219822</v>
      </c>
    </row>
    <row r="375" spans="1:11" x14ac:dyDescent="0.2">
      <c r="A375" t="s">
        <v>316</v>
      </c>
      <c r="B375">
        <v>2018</v>
      </c>
      <c r="C375" t="s">
        <v>330</v>
      </c>
      <c r="D375" t="s">
        <v>330</v>
      </c>
      <c r="E375" s="12">
        <f>(1650761*(1/6))/(1650761+178492+579491+80483)</f>
        <v>0.11052701635219822</v>
      </c>
      <c r="F375" s="12"/>
      <c r="G375" s="12"/>
      <c r="H375" s="12"/>
      <c r="I375" s="7" t="s">
        <v>319</v>
      </c>
      <c r="J375" t="s">
        <v>325</v>
      </c>
      <c r="K375" s="6">
        <f t="shared" si="5"/>
        <v>0.11052701635219822</v>
      </c>
    </row>
    <row r="376" spans="1:11" x14ac:dyDescent="0.2">
      <c r="A376" s="8" t="s">
        <v>316</v>
      </c>
      <c r="B376">
        <v>2016</v>
      </c>
      <c r="C376" s="8" t="s">
        <v>316</v>
      </c>
      <c r="D376" t="s">
        <v>331</v>
      </c>
      <c r="E376" s="12">
        <f>(50*(1/6))/100</f>
        <v>8.3333333333333315E-2</v>
      </c>
      <c r="F376" s="7"/>
      <c r="G376" s="7"/>
      <c r="H376" s="7"/>
      <c r="I376" t="s">
        <v>332</v>
      </c>
      <c r="K376" s="6">
        <f t="shared" si="5"/>
        <v>8.3333333333333315E-2</v>
      </c>
    </row>
    <row r="377" spans="1:11" x14ac:dyDescent="0.2">
      <c r="A377" t="s">
        <v>316</v>
      </c>
      <c r="B377">
        <v>2016</v>
      </c>
      <c r="C377" t="s">
        <v>321</v>
      </c>
      <c r="D377" t="s">
        <v>333</v>
      </c>
      <c r="E377" s="7">
        <f>(659504*(1/6))/1093970</f>
        <v>0.10047563766221498</v>
      </c>
      <c r="F377" s="7"/>
      <c r="G377" s="7"/>
      <c r="H377" s="7"/>
      <c r="I377" s="7" t="s">
        <v>319</v>
      </c>
      <c r="J377" t="s">
        <v>324</v>
      </c>
      <c r="K377" s="6">
        <f t="shared" si="5"/>
        <v>0.10047563766221498</v>
      </c>
    </row>
    <row r="378" spans="1:11" x14ac:dyDescent="0.2">
      <c r="A378" s="8" t="s">
        <v>316</v>
      </c>
      <c r="B378">
        <v>2017</v>
      </c>
      <c r="C378" s="8" t="s">
        <v>316</v>
      </c>
      <c r="D378" t="s">
        <v>333</v>
      </c>
      <c r="E378" s="12">
        <f>(1397128*(1/6))/1840723</f>
        <v>0.12650174234073602</v>
      </c>
      <c r="F378" s="12"/>
      <c r="G378" s="12"/>
      <c r="H378" s="12"/>
      <c r="I378" s="7" t="s">
        <v>319</v>
      </c>
      <c r="J378" t="s">
        <v>324</v>
      </c>
      <c r="K378" s="6">
        <f t="shared" si="5"/>
        <v>0.12650174234073602</v>
      </c>
    </row>
    <row r="379" spans="1:11" x14ac:dyDescent="0.2">
      <c r="A379" t="s">
        <v>316</v>
      </c>
      <c r="B379">
        <v>2011</v>
      </c>
      <c r="C379" t="s">
        <v>321</v>
      </c>
      <c r="D379" t="s">
        <v>334</v>
      </c>
      <c r="E379" s="7">
        <f>(2934399*(1/6))/7587348</f>
        <v>6.4458161138779974E-2</v>
      </c>
      <c r="F379" s="7"/>
      <c r="G379" s="7"/>
      <c r="H379" s="7"/>
      <c r="I379" s="7" t="s">
        <v>335</v>
      </c>
      <c r="J379" t="s">
        <v>336</v>
      </c>
      <c r="K379" s="6">
        <f t="shared" si="5"/>
        <v>6.4458161138779974E-2</v>
      </c>
    </row>
    <row r="380" spans="1:11" x14ac:dyDescent="0.2">
      <c r="A380" t="s">
        <v>316</v>
      </c>
      <c r="B380">
        <v>2013</v>
      </c>
      <c r="C380" t="s">
        <v>321</v>
      </c>
      <c r="D380" t="s">
        <v>337</v>
      </c>
      <c r="E380" s="7">
        <f>(862033*(1/6))/2819076</f>
        <v>5.0964275765061552E-2</v>
      </c>
      <c r="F380" s="7"/>
      <c r="G380" s="7"/>
      <c r="H380" s="7"/>
      <c r="I380" s="7" t="s">
        <v>335</v>
      </c>
      <c r="J380" t="s">
        <v>338</v>
      </c>
      <c r="K380" s="6">
        <f t="shared" si="5"/>
        <v>5.0964275765061552E-2</v>
      </c>
    </row>
    <row r="381" spans="1:11" x14ac:dyDescent="0.2">
      <c r="A381" t="s">
        <v>316</v>
      </c>
      <c r="B381">
        <v>2014</v>
      </c>
      <c r="C381" t="s">
        <v>321</v>
      </c>
      <c r="D381" t="s">
        <v>337</v>
      </c>
      <c r="E381" s="7">
        <f>(1238163*(1/6))/2087757</f>
        <v>9.8843160386960741E-2</v>
      </c>
      <c r="F381" s="7"/>
      <c r="G381" s="7"/>
      <c r="H381" s="7"/>
      <c r="I381" s="7" t="s">
        <v>335</v>
      </c>
      <c r="J381" t="s">
        <v>329</v>
      </c>
      <c r="K381" s="6">
        <f t="shared" si="5"/>
        <v>9.8843160386960741E-2</v>
      </c>
    </row>
    <row r="382" spans="1:11" x14ac:dyDescent="0.2">
      <c r="A382" t="s">
        <v>316</v>
      </c>
      <c r="B382">
        <v>2014</v>
      </c>
      <c r="C382" t="s">
        <v>327</v>
      </c>
      <c r="D382" t="s">
        <v>337</v>
      </c>
      <c r="E382" s="7">
        <f>(1238163*(1/6))/2087757</f>
        <v>9.8843160386960741E-2</v>
      </c>
      <c r="F382" s="7"/>
      <c r="G382" s="7"/>
      <c r="H382" s="7"/>
      <c r="I382" s="7" t="s">
        <v>335</v>
      </c>
      <c r="J382" t="s">
        <v>329</v>
      </c>
      <c r="K382" s="6">
        <f t="shared" si="5"/>
        <v>9.8843160386960741E-2</v>
      </c>
    </row>
    <row r="383" spans="1:11" x14ac:dyDescent="0.2">
      <c r="A383" t="s">
        <v>316</v>
      </c>
      <c r="B383">
        <v>2015</v>
      </c>
      <c r="C383" t="s">
        <v>321</v>
      </c>
      <c r="D383" t="s">
        <v>337</v>
      </c>
      <c r="E383" s="7">
        <f>(810500*(1/6))/1485046</f>
        <v>9.0962389941680807E-2</v>
      </c>
      <c r="F383" s="7"/>
      <c r="G383" s="7"/>
      <c r="H383" s="7"/>
      <c r="I383" s="7" t="s">
        <v>335</v>
      </c>
      <c r="J383" t="s">
        <v>323</v>
      </c>
      <c r="K383" s="6">
        <f t="shared" si="5"/>
        <v>9.0962389941680807E-2</v>
      </c>
    </row>
    <row r="384" spans="1:11" x14ac:dyDescent="0.2">
      <c r="A384" t="s">
        <v>316</v>
      </c>
      <c r="B384">
        <v>2015</v>
      </c>
      <c r="C384" t="s">
        <v>327</v>
      </c>
      <c r="D384" t="s">
        <v>337</v>
      </c>
      <c r="E384" s="7">
        <f>(810500*(1/6))/1485046</f>
        <v>9.0962389941680807E-2</v>
      </c>
      <c r="F384" s="7"/>
      <c r="G384" s="7"/>
      <c r="H384" s="7"/>
      <c r="I384" s="7" t="s">
        <v>335</v>
      </c>
      <c r="J384" t="s">
        <v>323</v>
      </c>
      <c r="K384" s="6">
        <f t="shared" si="5"/>
        <v>9.0962389941680807E-2</v>
      </c>
    </row>
    <row r="385" spans="1:11" x14ac:dyDescent="0.2">
      <c r="A385" t="s">
        <v>316</v>
      </c>
      <c r="B385">
        <v>2016</v>
      </c>
      <c r="C385" t="s">
        <v>321</v>
      </c>
      <c r="D385" t="s">
        <v>337</v>
      </c>
      <c r="E385" s="7">
        <f>(659504*(1/6))/1093970</f>
        <v>0.10047563766221498</v>
      </c>
      <c r="F385" s="7"/>
      <c r="G385" s="7"/>
      <c r="H385" s="7"/>
      <c r="I385" s="7" t="s">
        <v>335</v>
      </c>
      <c r="J385" t="s">
        <v>324</v>
      </c>
      <c r="K385" s="6">
        <f t="shared" si="5"/>
        <v>0.10047563766221498</v>
      </c>
    </row>
    <row r="386" spans="1:11" x14ac:dyDescent="0.2">
      <c r="A386" t="s">
        <v>316</v>
      </c>
      <c r="B386">
        <v>2016</v>
      </c>
      <c r="C386" t="s">
        <v>327</v>
      </c>
      <c r="D386" t="s">
        <v>337</v>
      </c>
      <c r="E386" s="7">
        <f>(659504*(1/6))/1093970</f>
        <v>0.10047563766221498</v>
      </c>
      <c r="F386" s="7"/>
      <c r="G386" s="7"/>
      <c r="H386" s="7"/>
      <c r="I386" s="7" t="s">
        <v>335</v>
      </c>
      <c r="J386" t="s">
        <v>324</v>
      </c>
      <c r="K386" s="6">
        <f t="shared" ref="K386:K449" si="6">SUM(E386:H386)</f>
        <v>0.10047563766221498</v>
      </c>
    </row>
    <row r="387" spans="1:11" x14ac:dyDescent="0.2">
      <c r="A387" s="8" t="s">
        <v>316</v>
      </c>
      <c r="B387">
        <v>2017</v>
      </c>
      <c r="C387" s="8" t="s">
        <v>316</v>
      </c>
      <c r="D387" t="s">
        <v>321</v>
      </c>
      <c r="E387" s="12">
        <f>(1397128*(1/6))/1840723</f>
        <v>0.12650174234073602</v>
      </c>
      <c r="F387" s="12"/>
      <c r="G387" s="12"/>
      <c r="H387" s="12"/>
      <c r="I387" s="7" t="s">
        <v>335</v>
      </c>
      <c r="J387" t="s">
        <v>324</v>
      </c>
      <c r="K387" s="6">
        <f t="shared" si="6"/>
        <v>0.12650174234073602</v>
      </c>
    </row>
    <row r="388" spans="1:11" x14ac:dyDescent="0.2">
      <c r="A388" t="s">
        <v>316</v>
      </c>
      <c r="B388">
        <v>2018</v>
      </c>
      <c r="C388" t="s">
        <v>321</v>
      </c>
      <c r="D388" t="s">
        <v>321</v>
      </c>
      <c r="E388" s="12">
        <f>(1650761*(1/6))/(1650761+178492+579491+80483)</f>
        <v>0.11052701635219822</v>
      </c>
      <c r="F388" s="7"/>
      <c r="G388" s="7"/>
      <c r="H388" s="7"/>
      <c r="I388" s="7" t="s">
        <v>335</v>
      </c>
      <c r="J388" t="s">
        <v>325</v>
      </c>
      <c r="K388" s="6">
        <f t="shared" si="6"/>
        <v>0.11052701635219822</v>
      </c>
    </row>
    <row r="389" spans="1:11" x14ac:dyDescent="0.2">
      <c r="A389" s="9" t="s">
        <v>316</v>
      </c>
      <c r="B389" s="9">
        <v>2019</v>
      </c>
      <c r="C389" s="9" t="s">
        <v>321</v>
      </c>
      <c r="D389" s="9" t="s">
        <v>321</v>
      </c>
      <c r="E389" s="13">
        <f>(1650761*(1/6))/(1650761+178492+579491+80483)</f>
        <v>0.11052701635219822</v>
      </c>
      <c r="F389" s="10"/>
      <c r="G389" s="10"/>
      <c r="H389" s="10"/>
      <c r="I389" s="10" t="s">
        <v>335</v>
      </c>
      <c r="J389" s="9" t="s">
        <v>325</v>
      </c>
      <c r="K389" s="6">
        <f t="shared" si="6"/>
        <v>0.11052701635219822</v>
      </c>
    </row>
    <row r="390" spans="1:11" x14ac:dyDescent="0.2">
      <c r="A390" t="s">
        <v>316</v>
      </c>
      <c r="B390">
        <v>2010</v>
      </c>
      <c r="C390" t="s">
        <v>317</v>
      </c>
      <c r="D390" t="s">
        <v>317</v>
      </c>
      <c r="E390" s="7">
        <f>(2535704*(1/6))/4522216</f>
        <v>9.3453592958260584E-2</v>
      </c>
      <c r="F390" s="7"/>
      <c r="G390" s="7"/>
      <c r="H390" s="7"/>
      <c r="I390" s="7" t="s">
        <v>335</v>
      </c>
      <c r="J390" t="s">
        <v>320</v>
      </c>
      <c r="K390" s="6">
        <f t="shared" si="6"/>
        <v>9.3453592958260584E-2</v>
      </c>
    </row>
    <row r="391" spans="1:11" x14ac:dyDescent="0.2">
      <c r="A391" t="s">
        <v>316</v>
      </c>
      <c r="B391">
        <v>2011</v>
      </c>
      <c r="C391" t="s">
        <v>317</v>
      </c>
      <c r="D391" t="s">
        <v>317</v>
      </c>
      <c r="E391" s="7">
        <f>(2934399*(1/6))/7587348</f>
        <v>6.4458161138779974E-2</v>
      </c>
      <c r="F391" s="7"/>
      <c r="G391" s="7"/>
      <c r="H391" s="7"/>
      <c r="I391" s="7" t="s">
        <v>335</v>
      </c>
      <c r="J391" t="s">
        <v>336</v>
      </c>
      <c r="K391" s="6">
        <f t="shared" si="6"/>
        <v>6.4458161138779974E-2</v>
      </c>
    </row>
    <row r="392" spans="1:11" x14ac:dyDescent="0.2">
      <c r="A392" t="s">
        <v>316</v>
      </c>
      <c r="B392">
        <v>2014</v>
      </c>
      <c r="C392" t="s">
        <v>321</v>
      </c>
      <c r="D392" t="s">
        <v>339</v>
      </c>
      <c r="E392" s="7">
        <f>(1238163*(1/6))/2087757</f>
        <v>9.8843160386960741E-2</v>
      </c>
      <c r="F392" s="7"/>
      <c r="G392" s="7"/>
      <c r="H392" s="7"/>
      <c r="I392" s="7" t="s">
        <v>319</v>
      </c>
      <c r="J392" t="s">
        <v>329</v>
      </c>
      <c r="K392" s="6">
        <f t="shared" si="6"/>
        <v>9.8843160386960741E-2</v>
      </c>
    </row>
    <row r="393" spans="1:11" x14ac:dyDescent="0.2">
      <c r="A393" t="s">
        <v>316</v>
      </c>
      <c r="B393">
        <v>2016</v>
      </c>
      <c r="C393" t="s">
        <v>321</v>
      </c>
      <c r="D393" t="s">
        <v>339</v>
      </c>
      <c r="E393" s="7">
        <f>(659504*(1/6))/1093970</f>
        <v>0.10047563766221498</v>
      </c>
      <c r="F393" s="7"/>
      <c r="G393" s="7"/>
      <c r="H393" s="7"/>
      <c r="I393" s="7" t="s">
        <v>319</v>
      </c>
      <c r="J393" t="s">
        <v>324</v>
      </c>
      <c r="K393" s="6">
        <f t="shared" si="6"/>
        <v>0.10047563766221498</v>
      </c>
    </row>
    <row r="394" spans="1:11" x14ac:dyDescent="0.2">
      <c r="A394" s="9" t="s">
        <v>316</v>
      </c>
      <c r="B394" s="9">
        <v>2019</v>
      </c>
      <c r="C394" s="9" t="s">
        <v>321</v>
      </c>
      <c r="D394" s="9" t="s">
        <v>340</v>
      </c>
      <c r="E394" s="13">
        <f>(1650761*(1/6))/(1650761+178492+579491+80483)</f>
        <v>0.11052701635219822</v>
      </c>
      <c r="F394" s="13"/>
      <c r="G394" s="13"/>
      <c r="H394" s="13"/>
      <c r="I394" s="10" t="s">
        <v>319</v>
      </c>
      <c r="J394" s="9" t="s">
        <v>325</v>
      </c>
      <c r="K394" s="6">
        <f t="shared" si="6"/>
        <v>0.11052701635219822</v>
      </c>
    </row>
    <row r="395" spans="1:11" x14ac:dyDescent="0.2">
      <c r="A395" t="s">
        <v>316</v>
      </c>
      <c r="B395">
        <v>2014</v>
      </c>
      <c r="C395" t="s">
        <v>341</v>
      </c>
      <c r="D395" t="s">
        <v>341</v>
      </c>
      <c r="E395" s="7">
        <f>(1238163*(1/6))/2087757</f>
        <v>9.8843160386960741E-2</v>
      </c>
      <c r="F395" s="7"/>
      <c r="G395" s="7"/>
      <c r="H395" s="7"/>
      <c r="I395" s="7" t="s">
        <v>342</v>
      </c>
      <c r="J395" t="s">
        <v>329</v>
      </c>
      <c r="K395" s="6">
        <f t="shared" si="6"/>
        <v>9.8843160386960741E-2</v>
      </c>
    </row>
    <row r="396" spans="1:11" x14ac:dyDescent="0.2">
      <c r="A396" t="s">
        <v>316</v>
      </c>
      <c r="B396">
        <v>2015</v>
      </c>
      <c r="C396" t="s">
        <v>341</v>
      </c>
      <c r="D396" t="s">
        <v>341</v>
      </c>
      <c r="E396" s="7">
        <f>(810500*(1/6))/1485046</f>
        <v>9.0962389941680807E-2</v>
      </c>
      <c r="F396" s="7"/>
      <c r="G396" s="7"/>
      <c r="H396" s="7"/>
      <c r="I396" s="7" t="s">
        <v>342</v>
      </c>
      <c r="J396" t="s">
        <v>323</v>
      </c>
      <c r="K396" s="6">
        <f t="shared" si="6"/>
        <v>9.0962389941680807E-2</v>
      </c>
    </row>
    <row r="397" spans="1:11" x14ac:dyDescent="0.2">
      <c r="A397" t="s">
        <v>316</v>
      </c>
      <c r="B397">
        <v>2016</v>
      </c>
      <c r="C397" t="s">
        <v>341</v>
      </c>
      <c r="D397" t="s">
        <v>341</v>
      </c>
      <c r="E397" s="7">
        <f>(659504*(1/6))/1093970</f>
        <v>0.10047563766221498</v>
      </c>
      <c r="F397" s="7"/>
      <c r="G397" s="7"/>
      <c r="H397" s="7"/>
      <c r="I397" s="7" t="s">
        <v>342</v>
      </c>
      <c r="J397" t="s">
        <v>324</v>
      </c>
      <c r="K397" s="6">
        <f t="shared" si="6"/>
        <v>0.10047563766221498</v>
      </c>
    </row>
    <row r="398" spans="1:11" x14ac:dyDescent="0.2">
      <c r="A398" s="8" t="s">
        <v>316</v>
      </c>
      <c r="B398">
        <v>2017</v>
      </c>
      <c r="C398" s="8" t="s">
        <v>316</v>
      </c>
      <c r="D398" t="s">
        <v>343</v>
      </c>
      <c r="E398" s="12">
        <f>(1397128*(1/6))/1840723</f>
        <v>0.12650174234073602</v>
      </c>
      <c r="F398" s="12"/>
      <c r="G398" s="12"/>
      <c r="H398" s="12"/>
      <c r="I398" s="7" t="s">
        <v>342</v>
      </c>
      <c r="J398" t="s">
        <v>324</v>
      </c>
      <c r="K398" s="6">
        <f t="shared" si="6"/>
        <v>0.12650174234073602</v>
      </c>
    </row>
    <row r="399" spans="1:11" x14ac:dyDescent="0.2">
      <c r="A399" s="8" t="s">
        <v>316</v>
      </c>
      <c r="B399" s="8">
        <v>2018</v>
      </c>
      <c r="C399" s="8" t="s">
        <v>316</v>
      </c>
      <c r="D399" s="8" t="s">
        <v>343</v>
      </c>
      <c r="E399" s="12">
        <f>(1650761*(1/6))/(1650761+178492+579491+80483)</f>
        <v>0.11052701635219822</v>
      </c>
      <c r="F399" s="12"/>
      <c r="G399" s="12"/>
      <c r="H399" s="12"/>
      <c r="I399" s="7" t="s">
        <v>342</v>
      </c>
      <c r="J399" t="s">
        <v>325</v>
      </c>
      <c r="K399" s="6">
        <f t="shared" si="6"/>
        <v>0.11052701635219822</v>
      </c>
    </row>
    <row r="400" spans="1:11" x14ac:dyDescent="0.2">
      <c r="A400" t="s">
        <v>316</v>
      </c>
      <c r="B400">
        <v>2018</v>
      </c>
      <c r="C400" s="8" t="s">
        <v>316</v>
      </c>
      <c r="D400" t="s">
        <v>343</v>
      </c>
      <c r="E400" s="12">
        <f>(1650761*(1/6))/(1650761+178492+579491+80483)</f>
        <v>0.11052701635219822</v>
      </c>
      <c r="F400" s="12"/>
      <c r="G400" s="12"/>
      <c r="H400" s="12"/>
      <c r="I400" s="7" t="s">
        <v>342</v>
      </c>
      <c r="J400" t="s">
        <v>325</v>
      </c>
      <c r="K400" s="6">
        <f t="shared" si="6"/>
        <v>0.11052701635219822</v>
      </c>
    </row>
    <row r="401" spans="1:11" x14ac:dyDescent="0.2">
      <c r="A401" t="s">
        <v>316</v>
      </c>
      <c r="B401">
        <v>2018</v>
      </c>
      <c r="C401" t="s">
        <v>343</v>
      </c>
      <c r="D401" t="s">
        <v>343</v>
      </c>
      <c r="E401" s="12">
        <f>(1650761*(1/6))/(1650761+178492+579491+80483)</f>
        <v>0.11052701635219822</v>
      </c>
      <c r="F401" s="12"/>
      <c r="G401" s="12"/>
      <c r="H401" s="12"/>
      <c r="I401" s="7" t="s">
        <v>342</v>
      </c>
      <c r="J401" t="s">
        <v>325</v>
      </c>
      <c r="K401" s="6">
        <f t="shared" si="6"/>
        <v>0.11052701635219822</v>
      </c>
    </row>
    <row r="402" spans="1:11" x14ac:dyDescent="0.2">
      <c r="A402" s="9" t="s">
        <v>316</v>
      </c>
      <c r="B402" s="9">
        <v>2019</v>
      </c>
      <c r="C402" s="9" t="s">
        <v>343</v>
      </c>
      <c r="D402" s="9" t="s">
        <v>343</v>
      </c>
      <c r="E402" s="13">
        <f>(1650761*(1/6))/(1650761+178492+579491+80483)</f>
        <v>0.11052701635219822</v>
      </c>
      <c r="F402" s="13"/>
      <c r="G402" s="13"/>
      <c r="H402" s="13"/>
      <c r="I402" s="10" t="s">
        <v>342</v>
      </c>
      <c r="J402" s="9" t="s">
        <v>325</v>
      </c>
      <c r="K402" s="6">
        <f t="shared" si="6"/>
        <v>0.11052701635219822</v>
      </c>
    </row>
    <row r="403" spans="1:11" x14ac:dyDescent="0.2">
      <c r="A403" t="s">
        <v>316</v>
      </c>
      <c r="B403">
        <v>2010</v>
      </c>
      <c r="C403" t="s">
        <v>317</v>
      </c>
      <c r="D403" t="s">
        <v>344</v>
      </c>
      <c r="E403" s="5">
        <f>(2535704*(1/6))/4522216</f>
        <v>9.3453592958260584E-2</v>
      </c>
      <c r="I403" s="5" t="s">
        <v>342</v>
      </c>
      <c r="J403" t="s">
        <v>320</v>
      </c>
      <c r="K403" s="6">
        <f t="shared" si="6"/>
        <v>9.3453592958260584E-2</v>
      </c>
    </row>
    <row r="404" spans="1:11" x14ac:dyDescent="0.2">
      <c r="A404" t="s">
        <v>316</v>
      </c>
      <c r="B404">
        <v>2013</v>
      </c>
      <c r="C404" t="s">
        <v>327</v>
      </c>
      <c r="D404" t="s">
        <v>345</v>
      </c>
      <c r="E404" s="11">
        <v>0.03</v>
      </c>
      <c r="F404" s="11"/>
      <c r="G404" s="11"/>
      <c r="H404" s="11"/>
      <c r="I404" s="5" t="s">
        <v>346</v>
      </c>
      <c r="K404" s="6">
        <f t="shared" si="6"/>
        <v>0.03</v>
      </c>
    </row>
    <row r="405" spans="1:11" x14ac:dyDescent="0.2">
      <c r="A405" t="s">
        <v>316</v>
      </c>
      <c r="B405">
        <v>2015</v>
      </c>
      <c r="C405" t="s">
        <v>321</v>
      </c>
      <c r="D405" t="s">
        <v>345</v>
      </c>
      <c r="E405" s="11">
        <v>0.03</v>
      </c>
      <c r="F405" s="11"/>
      <c r="G405" s="11"/>
      <c r="H405" s="11"/>
      <c r="I405" s="5" t="s">
        <v>346</v>
      </c>
      <c r="K405" s="6">
        <f t="shared" si="6"/>
        <v>0.03</v>
      </c>
    </row>
    <row r="406" spans="1:11" x14ac:dyDescent="0.2">
      <c r="A406" t="s">
        <v>316</v>
      </c>
      <c r="B406">
        <v>2016</v>
      </c>
      <c r="C406" t="s">
        <v>321</v>
      </c>
      <c r="D406" t="s">
        <v>345</v>
      </c>
      <c r="E406" s="5">
        <v>0.03</v>
      </c>
      <c r="I406" s="5" t="s">
        <v>346</v>
      </c>
      <c r="K406" s="6">
        <f t="shared" si="6"/>
        <v>0.03</v>
      </c>
    </row>
    <row r="407" spans="1:11" x14ac:dyDescent="0.2">
      <c r="A407" s="8" t="s">
        <v>316</v>
      </c>
      <c r="B407">
        <v>2017</v>
      </c>
      <c r="C407" s="8" t="s">
        <v>316</v>
      </c>
      <c r="D407" t="s">
        <v>345</v>
      </c>
      <c r="E407" s="11">
        <v>0.03</v>
      </c>
      <c r="F407" s="11"/>
      <c r="G407" s="11"/>
      <c r="H407" s="11"/>
      <c r="I407" s="5" t="s">
        <v>346</v>
      </c>
      <c r="K407" s="6">
        <f t="shared" si="6"/>
        <v>0.03</v>
      </c>
    </row>
    <row r="408" spans="1:11" x14ac:dyDescent="0.2">
      <c r="A408" t="s">
        <v>316</v>
      </c>
      <c r="B408">
        <v>2012</v>
      </c>
      <c r="C408" t="s">
        <v>327</v>
      </c>
      <c r="D408" t="s">
        <v>347</v>
      </c>
      <c r="E408" s="11">
        <v>0.03</v>
      </c>
      <c r="F408" s="11"/>
      <c r="G408" s="11"/>
      <c r="H408" s="11"/>
      <c r="I408" s="5" t="s">
        <v>346</v>
      </c>
      <c r="K408" s="6">
        <f t="shared" si="6"/>
        <v>0.03</v>
      </c>
    </row>
    <row r="409" spans="1:11" x14ac:dyDescent="0.2">
      <c r="A409" t="s">
        <v>316</v>
      </c>
      <c r="B409">
        <v>2014</v>
      </c>
      <c r="C409" t="s">
        <v>321</v>
      </c>
      <c r="D409" t="s">
        <v>348</v>
      </c>
      <c r="E409" s="5">
        <v>0.04</v>
      </c>
      <c r="I409" t="s">
        <v>349</v>
      </c>
      <c r="K409" s="6">
        <f t="shared" si="6"/>
        <v>0.04</v>
      </c>
    </row>
    <row r="410" spans="1:11" x14ac:dyDescent="0.2">
      <c r="A410" t="s">
        <v>316</v>
      </c>
      <c r="B410">
        <v>2015</v>
      </c>
      <c r="C410" t="s">
        <v>321</v>
      </c>
      <c r="D410" t="s">
        <v>348</v>
      </c>
      <c r="E410" s="5">
        <v>0.04</v>
      </c>
      <c r="I410" t="s">
        <v>349</v>
      </c>
      <c r="K410" s="6">
        <f t="shared" si="6"/>
        <v>0.04</v>
      </c>
    </row>
    <row r="411" spans="1:11" x14ac:dyDescent="0.2">
      <c r="A411" t="s">
        <v>316</v>
      </c>
      <c r="B411">
        <v>2013</v>
      </c>
      <c r="C411" t="s">
        <v>350</v>
      </c>
      <c r="D411" t="s">
        <v>350</v>
      </c>
      <c r="E411" s="5">
        <f>(862033*(1/6))/2819076</f>
        <v>5.0964275765061552E-2</v>
      </c>
      <c r="I411" s="5" t="s">
        <v>342</v>
      </c>
      <c r="J411" t="s">
        <v>338</v>
      </c>
      <c r="K411" s="6">
        <f t="shared" si="6"/>
        <v>5.0964275765061552E-2</v>
      </c>
    </row>
    <row r="412" spans="1:11" x14ac:dyDescent="0.2">
      <c r="A412" t="s">
        <v>316</v>
      </c>
      <c r="B412">
        <v>2011</v>
      </c>
      <c r="C412" t="s">
        <v>351</v>
      </c>
      <c r="D412" t="s">
        <v>351</v>
      </c>
      <c r="E412" s="5">
        <f>(2934399*(1/6))/7587348</f>
        <v>6.4458161138779974E-2</v>
      </c>
      <c r="I412" s="5" t="s">
        <v>342</v>
      </c>
      <c r="J412" t="s">
        <v>336</v>
      </c>
      <c r="K412" s="6">
        <f t="shared" si="6"/>
        <v>6.4458161138779974E-2</v>
      </c>
    </row>
    <row r="413" spans="1:11" x14ac:dyDescent="0.2">
      <c r="A413" t="s">
        <v>352</v>
      </c>
      <c r="B413">
        <v>2018</v>
      </c>
      <c r="C413" t="s">
        <v>353</v>
      </c>
      <c r="D413" t="s">
        <v>354</v>
      </c>
      <c r="E413" s="7">
        <f>10236695/(10236695+1303446+2829167)</f>
        <v>0.71239999866381876</v>
      </c>
      <c r="F413" s="7"/>
      <c r="G413" s="7"/>
      <c r="H413" s="7">
        <f>1303446/(10236695+1303446+2829167)</f>
        <v>9.0710422519998876E-2</v>
      </c>
      <c r="I413" t="s">
        <v>355</v>
      </c>
      <c r="J413" t="s">
        <v>356</v>
      </c>
      <c r="K413" s="6">
        <f t="shared" si="6"/>
        <v>0.80311042118381759</v>
      </c>
    </row>
    <row r="414" spans="1:11" x14ac:dyDescent="0.2">
      <c r="A414" t="s">
        <v>352</v>
      </c>
      <c r="B414">
        <v>2018</v>
      </c>
      <c r="C414" t="s">
        <v>353</v>
      </c>
      <c r="D414" t="s">
        <v>354</v>
      </c>
      <c r="E414" s="7">
        <f>10236695/(10236695+1303446+2829167)</f>
        <v>0.71239999866381876</v>
      </c>
      <c r="F414" s="7"/>
      <c r="G414" s="7"/>
      <c r="H414" s="7">
        <f>1303446/(10236695+1303446+2829167)</f>
        <v>9.0710422519998876E-2</v>
      </c>
      <c r="I414" t="s">
        <v>355</v>
      </c>
      <c r="J414" t="s">
        <v>356</v>
      </c>
      <c r="K414" s="6">
        <f t="shared" si="6"/>
        <v>0.80311042118381759</v>
      </c>
    </row>
    <row r="415" spans="1:11" x14ac:dyDescent="0.2">
      <c r="A415" t="s">
        <v>352</v>
      </c>
      <c r="B415">
        <v>2013</v>
      </c>
      <c r="C415" t="s">
        <v>357</v>
      </c>
      <c r="D415" t="s">
        <v>358</v>
      </c>
      <c r="E415" s="7">
        <f>6190302/(6190302+1046465+1541977)</f>
        <v>0.70514665879310301</v>
      </c>
      <c r="F415" s="7"/>
      <c r="G415" s="7"/>
      <c r="H415" s="7"/>
      <c r="I415" t="s">
        <v>355</v>
      </c>
      <c r="J415" t="s">
        <v>359</v>
      </c>
      <c r="K415" s="6">
        <f t="shared" si="6"/>
        <v>0.70514665879310301</v>
      </c>
    </row>
    <row r="416" spans="1:11" x14ac:dyDescent="0.2">
      <c r="A416" s="8" t="s">
        <v>352</v>
      </c>
      <c r="B416">
        <v>2013</v>
      </c>
      <c r="C416" s="8" t="s">
        <v>352</v>
      </c>
      <c r="D416" t="s">
        <v>353</v>
      </c>
      <c r="E416" s="7">
        <f>6190302/(6190302+1046465+1541977)</f>
        <v>0.70514665879310301</v>
      </c>
      <c r="F416" s="7"/>
      <c r="G416" s="7"/>
      <c r="H416" s="7"/>
      <c r="I416" t="s">
        <v>355</v>
      </c>
      <c r="J416" t="s">
        <v>359</v>
      </c>
      <c r="K416" s="6">
        <f t="shared" si="6"/>
        <v>0.70514665879310301</v>
      </c>
    </row>
    <row r="417" spans="1:13" x14ac:dyDescent="0.2">
      <c r="A417" t="s">
        <v>352</v>
      </c>
      <c r="B417">
        <v>2015</v>
      </c>
      <c r="C417" t="s">
        <v>353</v>
      </c>
      <c r="D417" t="s">
        <v>353</v>
      </c>
      <c r="E417" s="7">
        <f>9513493/(9513493+1240096+2040695)</f>
        <v>0.74357369275216967</v>
      </c>
      <c r="F417" s="7"/>
      <c r="G417" s="7"/>
      <c r="H417" s="7">
        <f>1240096/(9513493+1240096+2040695)</f>
        <v>9.6925783420158562E-2</v>
      </c>
      <c r="I417" t="s">
        <v>355</v>
      </c>
      <c r="J417" t="s">
        <v>360</v>
      </c>
      <c r="K417" s="6">
        <f t="shared" si="6"/>
        <v>0.84049947617232823</v>
      </c>
    </row>
    <row r="418" spans="1:13" x14ac:dyDescent="0.2">
      <c r="A418" t="s">
        <v>352</v>
      </c>
      <c r="B418">
        <v>2016</v>
      </c>
      <c r="C418" t="s">
        <v>353</v>
      </c>
      <c r="D418" t="s">
        <v>353</v>
      </c>
      <c r="E418" s="7">
        <f>8502522/(8502522+1334780+2112940)</f>
        <v>0.71149370866297101</v>
      </c>
      <c r="F418" s="7"/>
      <c r="G418" s="7"/>
      <c r="H418" s="7">
        <f>1334780/(8502522+1334780+2112940)</f>
        <v>0.11169480919298538</v>
      </c>
      <c r="I418" t="s">
        <v>355</v>
      </c>
      <c r="J418" t="s">
        <v>361</v>
      </c>
      <c r="K418" s="6">
        <f t="shared" si="6"/>
        <v>0.82318851785595637</v>
      </c>
    </row>
    <row r="419" spans="1:13" x14ac:dyDescent="0.2">
      <c r="A419" t="s">
        <v>352</v>
      </c>
      <c r="B419">
        <v>2017</v>
      </c>
      <c r="C419" t="s">
        <v>353</v>
      </c>
      <c r="D419" t="s">
        <v>353</v>
      </c>
      <c r="E419" s="7">
        <f>8611569/(8611569+1236818+2123567)</f>
        <v>0.71931190179982318</v>
      </c>
      <c r="F419" s="7"/>
      <c r="G419" s="7"/>
      <c r="H419" s="7">
        <f>1236818/(8611569+1236818+2123567)</f>
        <v>0.10330961846328511</v>
      </c>
      <c r="I419" t="s">
        <v>355</v>
      </c>
      <c r="J419" t="s">
        <v>362</v>
      </c>
      <c r="K419" s="6">
        <f t="shared" si="6"/>
        <v>0.82262152026310831</v>
      </c>
    </row>
    <row r="420" spans="1:13" x14ac:dyDescent="0.2">
      <c r="A420" t="s">
        <v>352</v>
      </c>
      <c r="B420">
        <v>2019</v>
      </c>
      <c r="C420" t="s">
        <v>353</v>
      </c>
      <c r="D420" t="s">
        <v>353</v>
      </c>
      <c r="E420" s="7">
        <f>10236695/(10236695+1303446+2829167)</f>
        <v>0.71239999866381876</v>
      </c>
      <c r="F420" s="7"/>
      <c r="G420" s="7"/>
      <c r="H420" s="7">
        <f>1303446/(10236695+1303446+2829167)</f>
        <v>9.0710422519998876E-2</v>
      </c>
      <c r="I420" t="s">
        <v>355</v>
      </c>
      <c r="J420" t="s">
        <v>356</v>
      </c>
      <c r="K420" s="6">
        <f t="shared" si="6"/>
        <v>0.80311042118381759</v>
      </c>
    </row>
    <row r="421" spans="1:13" x14ac:dyDescent="0.2">
      <c r="A421" t="s">
        <v>352</v>
      </c>
      <c r="B421">
        <v>2013</v>
      </c>
      <c r="C421" t="s">
        <v>357</v>
      </c>
      <c r="D421" t="s">
        <v>357</v>
      </c>
      <c r="E421" s="7">
        <f>6190302/(6190302+1046465+1541977)</f>
        <v>0.70514665879310301</v>
      </c>
      <c r="F421" s="7"/>
      <c r="G421" s="7"/>
      <c r="H421" s="7"/>
      <c r="I421" t="s">
        <v>355</v>
      </c>
      <c r="J421" t="s">
        <v>359</v>
      </c>
      <c r="K421" s="6">
        <f t="shared" si="6"/>
        <v>0.70514665879310301</v>
      </c>
    </row>
    <row r="422" spans="1:13" x14ac:dyDescent="0.2">
      <c r="A422" t="s">
        <v>352</v>
      </c>
      <c r="B422">
        <v>2017</v>
      </c>
      <c r="C422" t="s">
        <v>357</v>
      </c>
      <c r="D422" t="s">
        <v>357</v>
      </c>
      <c r="E422" s="7">
        <f>8611569/(8611569+1236818+2123567)</f>
        <v>0.71931190179982318</v>
      </c>
      <c r="F422" s="7"/>
      <c r="G422" s="7"/>
      <c r="H422" s="7">
        <f>1236818/(8611569+1236818+2123567)</f>
        <v>0.10330961846328511</v>
      </c>
      <c r="I422" t="s">
        <v>355</v>
      </c>
      <c r="J422" t="s">
        <v>362</v>
      </c>
      <c r="K422" s="6">
        <f t="shared" si="6"/>
        <v>0.82262152026310831</v>
      </c>
    </row>
    <row r="423" spans="1:13" x14ac:dyDescent="0.2">
      <c r="A423" t="s">
        <v>352</v>
      </c>
      <c r="B423">
        <v>2018</v>
      </c>
      <c r="C423" t="s">
        <v>357</v>
      </c>
      <c r="D423" t="s">
        <v>357</v>
      </c>
      <c r="E423" s="7">
        <f>10236695/(10236695+1303446+2829167)</f>
        <v>0.71239999866381876</v>
      </c>
      <c r="F423" s="7"/>
      <c r="G423" s="7"/>
      <c r="H423" s="7">
        <f>1303446/(10236695+1303446+2829167)</f>
        <v>9.0710422519998876E-2</v>
      </c>
      <c r="I423" t="s">
        <v>355</v>
      </c>
      <c r="J423" t="s">
        <v>356</v>
      </c>
      <c r="K423" s="6">
        <f t="shared" si="6"/>
        <v>0.80311042118381759</v>
      </c>
    </row>
    <row r="424" spans="1:13" x14ac:dyDescent="0.2">
      <c r="A424" t="s">
        <v>363</v>
      </c>
      <c r="B424">
        <v>2016</v>
      </c>
      <c r="C424" t="s">
        <v>364</v>
      </c>
      <c r="D424" t="s">
        <v>364</v>
      </c>
      <c r="E424" s="7">
        <f>3201/(1020+3201+1123)</f>
        <v>0.59898952095808389</v>
      </c>
      <c r="F424" s="7"/>
      <c r="G424" s="7"/>
      <c r="H424" s="7"/>
      <c r="I424" t="s">
        <v>365</v>
      </c>
      <c r="J424" t="s">
        <v>366</v>
      </c>
      <c r="K424" s="6">
        <f t="shared" si="6"/>
        <v>0.59898952095808389</v>
      </c>
    </row>
    <row r="425" spans="1:13" x14ac:dyDescent="0.2">
      <c r="A425" s="8" t="s">
        <v>363</v>
      </c>
      <c r="B425">
        <v>2017</v>
      </c>
      <c r="C425" s="8" t="s">
        <v>363</v>
      </c>
      <c r="D425" t="s">
        <v>364</v>
      </c>
      <c r="E425" s="12">
        <f>416/(16245+416+282)</f>
        <v>2.4552912707312753E-2</v>
      </c>
      <c r="F425" s="7"/>
      <c r="G425" s="7"/>
      <c r="H425" s="7"/>
      <c r="I425" t="s">
        <v>367</v>
      </c>
      <c r="J425" t="s">
        <v>368</v>
      </c>
      <c r="K425" s="6">
        <f t="shared" si="6"/>
        <v>2.4552912707312753E-2</v>
      </c>
    </row>
    <row r="426" spans="1:13" x14ac:dyDescent="0.2">
      <c r="A426" t="s">
        <v>363</v>
      </c>
      <c r="B426">
        <v>2018</v>
      </c>
      <c r="C426" t="s">
        <v>364</v>
      </c>
      <c r="D426" t="s">
        <v>364</v>
      </c>
      <c r="E426" s="7">
        <v>0</v>
      </c>
      <c r="F426" s="7"/>
      <c r="G426" s="7"/>
      <c r="H426" s="7"/>
      <c r="I426" t="s">
        <v>369</v>
      </c>
      <c r="J426" t="s">
        <v>370</v>
      </c>
      <c r="K426" s="6">
        <f t="shared" si="6"/>
        <v>0</v>
      </c>
      <c r="M426" t="s">
        <v>69</v>
      </c>
    </row>
    <row r="427" spans="1:13" x14ac:dyDescent="0.2">
      <c r="A427" t="s">
        <v>363</v>
      </c>
      <c r="B427">
        <v>2013</v>
      </c>
      <c r="C427" t="s">
        <v>363</v>
      </c>
      <c r="D427" t="s">
        <v>371</v>
      </c>
      <c r="E427" s="12">
        <v>1</v>
      </c>
      <c r="F427" s="7"/>
      <c r="G427" s="7"/>
      <c r="H427" s="7"/>
      <c r="I427" t="s">
        <v>372</v>
      </c>
      <c r="K427" s="6">
        <f t="shared" si="6"/>
        <v>1</v>
      </c>
    </row>
    <row r="428" spans="1:13" x14ac:dyDescent="0.2">
      <c r="A428" t="s">
        <v>373</v>
      </c>
      <c r="B428">
        <v>2012</v>
      </c>
      <c r="C428" t="s">
        <v>373</v>
      </c>
      <c r="D428" t="s">
        <v>373</v>
      </c>
      <c r="E428" s="7"/>
      <c r="F428" s="7"/>
      <c r="G428" s="7"/>
      <c r="H428" s="7">
        <v>1</v>
      </c>
      <c r="I428" t="s">
        <v>374</v>
      </c>
      <c r="J428" t="s">
        <v>375</v>
      </c>
      <c r="K428" s="6">
        <f t="shared" si="6"/>
        <v>1</v>
      </c>
    </row>
    <row r="429" spans="1:13" x14ac:dyDescent="0.2">
      <c r="A429" t="s">
        <v>373</v>
      </c>
      <c r="B429">
        <v>2015</v>
      </c>
      <c r="C429" t="s">
        <v>373</v>
      </c>
      <c r="D429" t="s">
        <v>373</v>
      </c>
      <c r="H429" s="5">
        <v>1</v>
      </c>
      <c r="K429" s="6">
        <f t="shared" si="6"/>
        <v>1</v>
      </c>
    </row>
    <row r="430" spans="1:13" x14ac:dyDescent="0.2">
      <c r="A430" t="s">
        <v>373</v>
      </c>
      <c r="B430">
        <v>2016</v>
      </c>
      <c r="C430" t="s">
        <v>373</v>
      </c>
      <c r="D430" t="s">
        <v>373</v>
      </c>
      <c r="H430" s="5">
        <v>1</v>
      </c>
      <c r="K430" s="6">
        <f t="shared" si="6"/>
        <v>1</v>
      </c>
    </row>
    <row r="431" spans="1:13" x14ac:dyDescent="0.2">
      <c r="A431" t="s">
        <v>373</v>
      </c>
      <c r="B431">
        <v>2012</v>
      </c>
      <c r="C431" t="s">
        <v>376</v>
      </c>
      <c r="D431" t="s">
        <v>376</v>
      </c>
      <c r="H431" s="5">
        <v>1</v>
      </c>
      <c r="I431" t="s">
        <v>374</v>
      </c>
      <c r="J431" t="s">
        <v>375</v>
      </c>
      <c r="K431" s="6">
        <f t="shared" si="6"/>
        <v>1</v>
      </c>
    </row>
    <row r="432" spans="1:13" x14ac:dyDescent="0.2">
      <c r="A432" t="s">
        <v>373</v>
      </c>
      <c r="B432">
        <v>2015</v>
      </c>
      <c r="C432" t="s">
        <v>376</v>
      </c>
      <c r="D432" t="s">
        <v>376</v>
      </c>
      <c r="H432" s="5">
        <v>1</v>
      </c>
      <c r="I432" t="s">
        <v>374</v>
      </c>
      <c r="J432" t="s">
        <v>377</v>
      </c>
      <c r="K432" s="6">
        <f t="shared" si="6"/>
        <v>1</v>
      </c>
    </row>
    <row r="433" spans="1:11" x14ac:dyDescent="0.2">
      <c r="A433" t="s">
        <v>373</v>
      </c>
      <c r="B433">
        <v>2016</v>
      </c>
      <c r="C433" t="s">
        <v>376</v>
      </c>
      <c r="D433" t="s">
        <v>376</v>
      </c>
      <c r="H433" s="5">
        <v>1</v>
      </c>
      <c r="I433" t="s">
        <v>374</v>
      </c>
      <c r="J433" t="s">
        <v>377</v>
      </c>
      <c r="K433" s="6">
        <f t="shared" si="6"/>
        <v>1</v>
      </c>
    </row>
    <row r="434" spans="1:11" x14ac:dyDescent="0.2">
      <c r="A434" t="s">
        <v>373</v>
      </c>
      <c r="B434">
        <v>2017</v>
      </c>
      <c r="C434" t="s">
        <v>376</v>
      </c>
      <c r="D434" t="s">
        <v>376</v>
      </c>
      <c r="H434" s="5">
        <v>1</v>
      </c>
      <c r="I434" t="s">
        <v>374</v>
      </c>
      <c r="J434" t="s">
        <v>377</v>
      </c>
      <c r="K434" s="6">
        <f t="shared" si="6"/>
        <v>1</v>
      </c>
    </row>
    <row r="435" spans="1:11" x14ac:dyDescent="0.2">
      <c r="A435" s="8" t="s">
        <v>373</v>
      </c>
      <c r="B435">
        <v>2018</v>
      </c>
      <c r="C435" s="8" t="s">
        <v>373</v>
      </c>
      <c r="D435" t="s">
        <v>376</v>
      </c>
      <c r="H435" s="5">
        <v>1</v>
      </c>
      <c r="I435" t="s">
        <v>374</v>
      </c>
      <c r="J435" t="s">
        <v>378</v>
      </c>
      <c r="K435" s="6">
        <f t="shared" si="6"/>
        <v>1</v>
      </c>
    </row>
    <row r="436" spans="1:11" x14ac:dyDescent="0.2">
      <c r="A436" t="s">
        <v>373</v>
      </c>
      <c r="B436">
        <v>2018</v>
      </c>
      <c r="C436" s="8" t="s">
        <v>373</v>
      </c>
      <c r="D436" t="s">
        <v>376</v>
      </c>
      <c r="H436" s="5">
        <v>1</v>
      </c>
      <c r="I436" t="s">
        <v>374</v>
      </c>
      <c r="J436" t="s">
        <v>378</v>
      </c>
      <c r="K436" s="6">
        <f t="shared" si="6"/>
        <v>1</v>
      </c>
    </row>
    <row r="437" spans="1:11" x14ac:dyDescent="0.2">
      <c r="A437" t="s">
        <v>373</v>
      </c>
      <c r="B437">
        <v>2018</v>
      </c>
      <c r="C437" t="s">
        <v>376</v>
      </c>
      <c r="D437" t="s">
        <v>376</v>
      </c>
      <c r="H437" s="5">
        <v>1</v>
      </c>
      <c r="I437" t="s">
        <v>374</v>
      </c>
      <c r="J437" t="s">
        <v>378</v>
      </c>
      <c r="K437" s="6">
        <f t="shared" si="6"/>
        <v>1</v>
      </c>
    </row>
    <row r="438" spans="1:11" x14ac:dyDescent="0.2">
      <c r="A438" t="s">
        <v>373</v>
      </c>
      <c r="B438">
        <v>2019</v>
      </c>
      <c r="C438" t="s">
        <v>376</v>
      </c>
      <c r="D438" t="s">
        <v>376</v>
      </c>
      <c r="H438" s="5">
        <v>1</v>
      </c>
      <c r="I438" t="s">
        <v>374</v>
      </c>
      <c r="J438" t="s">
        <v>378</v>
      </c>
      <c r="K438" s="6">
        <f t="shared" si="6"/>
        <v>1</v>
      </c>
    </row>
    <row r="439" spans="1:11" x14ac:dyDescent="0.2">
      <c r="A439" t="s">
        <v>379</v>
      </c>
      <c r="B439">
        <v>2010</v>
      </c>
      <c r="C439" t="s">
        <v>380</v>
      </c>
      <c r="D439" t="s">
        <v>380</v>
      </c>
      <c r="E439" s="5">
        <v>1</v>
      </c>
      <c r="I439" t="s">
        <v>381</v>
      </c>
      <c r="J439" t="s">
        <v>382</v>
      </c>
      <c r="K439" s="6">
        <f t="shared" si="6"/>
        <v>1</v>
      </c>
    </row>
    <row r="440" spans="1:11" x14ac:dyDescent="0.2">
      <c r="A440" t="s">
        <v>379</v>
      </c>
      <c r="B440">
        <v>2011</v>
      </c>
      <c r="C440" t="s">
        <v>380</v>
      </c>
      <c r="D440" t="s">
        <v>380</v>
      </c>
      <c r="E440" s="5">
        <v>1</v>
      </c>
      <c r="I440" t="s">
        <v>381</v>
      </c>
      <c r="J440" t="s">
        <v>382</v>
      </c>
      <c r="K440" s="6">
        <f t="shared" si="6"/>
        <v>1</v>
      </c>
    </row>
    <row r="441" spans="1:11" x14ac:dyDescent="0.2">
      <c r="A441" t="s">
        <v>379</v>
      </c>
      <c r="B441">
        <v>2013</v>
      </c>
      <c r="C441" t="s">
        <v>380</v>
      </c>
      <c r="D441" t="s">
        <v>380</v>
      </c>
      <c r="E441" s="5">
        <v>1</v>
      </c>
      <c r="I441" t="s">
        <v>381</v>
      </c>
      <c r="J441" t="s">
        <v>382</v>
      </c>
      <c r="K441" s="6">
        <f t="shared" si="6"/>
        <v>1</v>
      </c>
    </row>
    <row r="442" spans="1:11" x14ac:dyDescent="0.2">
      <c r="A442" t="s">
        <v>379</v>
      </c>
      <c r="B442">
        <v>2012</v>
      </c>
      <c r="C442" t="s">
        <v>383</v>
      </c>
      <c r="D442" t="s">
        <v>384</v>
      </c>
      <c r="E442" s="5">
        <v>1</v>
      </c>
      <c r="I442" t="s">
        <v>381</v>
      </c>
      <c r="J442" t="s">
        <v>382</v>
      </c>
      <c r="K442" s="6">
        <f t="shared" si="6"/>
        <v>1</v>
      </c>
    </row>
    <row r="443" spans="1:11" x14ac:dyDescent="0.2">
      <c r="A443" t="s">
        <v>379</v>
      </c>
      <c r="B443">
        <v>2012</v>
      </c>
      <c r="C443" t="s">
        <v>385</v>
      </c>
      <c r="D443" t="s">
        <v>385</v>
      </c>
      <c r="E443" s="5">
        <v>1</v>
      </c>
      <c r="I443" t="s">
        <v>386</v>
      </c>
      <c r="J443" t="s">
        <v>387</v>
      </c>
      <c r="K443" s="6">
        <f t="shared" si="6"/>
        <v>1</v>
      </c>
    </row>
    <row r="444" spans="1:11" x14ac:dyDescent="0.2">
      <c r="A444" t="s">
        <v>379</v>
      </c>
      <c r="B444">
        <v>2017</v>
      </c>
      <c r="C444" t="s">
        <v>388</v>
      </c>
      <c r="D444" t="s">
        <v>388</v>
      </c>
      <c r="E444" s="12">
        <f>(427554)/(427554+563208+53899)</f>
        <v>0.40927535344001548</v>
      </c>
      <c r="F444" s="7"/>
      <c r="G444" s="12">
        <f>(53899/2)/(427554+563208+53899)</f>
        <v>2.5797363929542693E-2</v>
      </c>
      <c r="H444" s="7"/>
      <c r="I444" t="s">
        <v>389</v>
      </c>
      <c r="J444" t="s">
        <v>390</v>
      </c>
      <c r="K444" s="6">
        <f t="shared" si="6"/>
        <v>0.43507271736955816</v>
      </c>
    </row>
    <row r="445" spans="1:11" x14ac:dyDescent="0.2">
      <c r="A445" t="s">
        <v>379</v>
      </c>
      <c r="B445">
        <v>2018</v>
      </c>
      <c r="C445" t="s">
        <v>388</v>
      </c>
      <c r="D445" t="s">
        <v>388</v>
      </c>
      <c r="E445" s="12">
        <f>(567425*(339385/352255))/(567425+361760+28239)</f>
        <v>0.57100463531866508</v>
      </c>
      <c r="F445" s="7"/>
      <c r="G445" s="12">
        <f>(567425*(11267/352255))/(567425+361760+28239)</f>
        <v>1.8956374695803878E-2</v>
      </c>
      <c r="H445" s="7"/>
      <c r="I445" t="s">
        <v>391</v>
      </c>
      <c r="J445" t="s">
        <v>392</v>
      </c>
      <c r="K445" s="6">
        <f t="shared" si="6"/>
        <v>0.58996101001446899</v>
      </c>
    </row>
    <row r="446" spans="1:11" x14ac:dyDescent="0.2">
      <c r="A446" t="s">
        <v>379</v>
      </c>
      <c r="B446">
        <v>2018</v>
      </c>
      <c r="C446" t="s">
        <v>388</v>
      </c>
      <c r="D446" t="s">
        <v>388</v>
      </c>
      <c r="E446" s="12">
        <f>(567425*(339385/352255))/(567425+361760+28239)</f>
        <v>0.57100463531866508</v>
      </c>
      <c r="F446" s="7"/>
      <c r="G446" s="12">
        <f>(567425*(11267/352255))/(567425+361760+28239)</f>
        <v>1.8956374695803878E-2</v>
      </c>
      <c r="H446" s="7"/>
      <c r="I446" t="s">
        <v>391</v>
      </c>
      <c r="J446" t="s">
        <v>392</v>
      </c>
      <c r="K446" s="6">
        <f t="shared" si="6"/>
        <v>0.58996101001446899</v>
      </c>
    </row>
    <row r="447" spans="1:11" x14ac:dyDescent="0.2">
      <c r="A447" t="s">
        <v>379</v>
      </c>
      <c r="B447">
        <v>2012</v>
      </c>
      <c r="C447" t="s">
        <v>393</v>
      </c>
      <c r="D447" t="s">
        <v>394</v>
      </c>
      <c r="E447" s="7">
        <f>(277370+99095+(89870/2))/(277370+99095+34227+89870)</f>
        <v>0.84185375637783133</v>
      </c>
      <c r="F447" s="7"/>
      <c r="G447" s="7">
        <f>((89870/2))/(277370+99095+34227+89870)</f>
        <v>8.976909953212589E-2</v>
      </c>
      <c r="H447" s="7"/>
      <c r="I447" t="s">
        <v>395</v>
      </c>
      <c r="J447" t="s">
        <v>396</v>
      </c>
      <c r="K447" s="6">
        <f t="shared" si="6"/>
        <v>0.93162285590995719</v>
      </c>
    </row>
    <row r="448" spans="1:11" x14ac:dyDescent="0.2">
      <c r="A448" t="s">
        <v>379</v>
      </c>
      <c r="B448">
        <v>2014</v>
      </c>
      <c r="C448" t="s">
        <v>393</v>
      </c>
      <c r="D448" t="s">
        <v>394</v>
      </c>
      <c r="E448" s="7">
        <f>(467062+133867+69956)/(467062+133867+81779+69956+82470)</f>
        <v>0.80332617280580121</v>
      </c>
      <c r="F448" s="7"/>
      <c r="G448" s="7">
        <f>(82470/2)/(467062+133867+81779+69956+82470)</f>
        <v>4.9375309830518216E-2</v>
      </c>
      <c r="H448" s="7"/>
      <c r="I448" t="s">
        <v>397</v>
      </c>
      <c r="J448" t="s">
        <v>398</v>
      </c>
      <c r="K448" s="6">
        <f t="shared" si="6"/>
        <v>0.8527014826363194</v>
      </c>
    </row>
    <row r="449" spans="1:11" x14ac:dyDescent="0.2">
      <c r="A449" t="s">
        <v>379</v>
      </c>
      <c r="B449">
        <v>2015</v>
      </c>
      <c r="C449" t="s">
        <v>394</v>
      </c>
      <c r="D449" t="s">
        <v>394</v>
      </c>
      <c r="E449" s="7">
        <f>(312506+25436+48120)/(312506+25436+443702+48120+83316)</f>
        <v>0.42281289700792923</v>
      </c>
      <c r="F449" s="7"/>
      <c r="G449" s="7">
        <f>(83316/2)/(312506+25436+443702+48120+83316)</f>
        <v>4.5623603627283481E-2</v>
      </c>
      <c r="H449" s="7"/>
      <c r="I449" t="s">
        <v>397</v>
      </c>
      <c r="J449" t="s">
        <v>399</v>
      </c>
      <c r="K449" s="6">
        <f t="shared" si="6"/>
        <v>0.46843650063521269</v>
      </c>
    </row>
    <row r="450" spans="1:11" x14ac:dyDescent="0.2">
      <c r="A450" t="s">
        <v>379</v>
      </c>
      <c r="B450">
        <v>2016</v>
      </c>
      <c r="C450" t="s">
        <v>394</v>
      </c>
      <c r="D450" t="s">
        <v>394</v>
      </c>
      <c r="E450" s="7">
        <f>(479463+77766+63406)/(479463+77766+301557+63406+36716)</f>
        <v>0.64723101694844554</v>
      </c>
      <c r="F450" s="7"/>
      <c r="G450" s="7">
        <f>(36716/2)/(479463+77766+301557+63406+36716)</f>
        <v>1.9144693755813905E-2</v>
      </c>
      <c r="H450" s="7"/>
      <c r="I450" t="s">
        <v>397</v>
      </c>
      <c r="J450" t="s">
        <v>400</v>
      </c>
      <c r="K450" s="6">
        <f t="shared" ref="K450:K513" si="7">SUM(E450:H450)</f>
        <v>0.66637571070425949</v>
      </c>
    </row>
    <row r="451" spans="1:11" x14ac:dyDescent="0.2">
      <c r="A451" t="s">
        <v>379</v>
      </c>
      <c r="B451">
        <v>2017</v>
      </c>
      <c r="C451" t="s">
        <v>394</v>
      </c>
      <c r="D451" t="s">
        <v>394</v>
      </c>
      <c r="E451" s="12">
        <f>(427554)/(427554+563208+53899)</f>
        <v>0.40927535344001548</v>
      </c>
      <c r="F451" s="7"/>
      <c r="G451" s="12">
        <f>(53899/2)/(427554+563208+53899)</f>
        <v>2.5797363929542693E-2</v>
      </c>
      <c r="H451" s="7"/>
      <c r="I451" t="s">
        <v>389</v>
      </c>
      <c r="J451" t="s">
        <v>390</v>
      </c>
      <c r="K451" s="6">
        <f t="shared" si="7"/>
        <v>0.43507271736955816</v>
      </c>
    </row>
    <row r="452" spans="1:11" x14ac:dyDescent="0.2">
      <c r="A452" s="8" t="s">
        <v>379</v>
      </c>
      <c r="B452">
        <v>2018</v>
      </c>
      <c r="C452" s="8" t="s">
        <v>379</v>
      </c>
      <c r="D452" t="s">
        <v>401</v>
      </c>
      <c r="E452" s="12">
        <f>(567425*(339385/352255))/(567425+361760+28239)</f>
        <v>0.57100463531866508</v>
      </c>
      <c r="F452" s="7"/>
      <c r="G452" s="12">
        <f>(567425*(11267/352255))/(567425+361760+28239)</f>
        <v>1.8956374695803878E-2</v>
      </c>
      <c r="H452" s="7"/>
      <c r="I452" t="s">
        <v>391</v>
      </c>
      <c r="J452" t="s">
        <v>392</v>
      </c>
      <c r="K452" s="6">
        <f t="shared" si="7"/>
        <v>0.58996101001446899</v>
      </c>
    </row>
    <row r="453" spans="1:11" x14ac:dyDescent="0.2">
      <c r="A453" t="s">
        <v>379</v>
      </c>
      <c r="B453">
        <v>2018</v>
      </c>
      <c r="C453" t="s">
        <v>401</v>
      </c>
      <c r="D453" t="s">
        <v>401</v>
      </c>
      <c r="E453" s="12">
        <f>(567425*(339385/352255))/(567425+361760+28239)</f>
        <v>0.57100463531866508</v>
      </c>
      <c r="F453" s="7"/>
      <c r="G453" s="12">
        <f>(567425*(11267/352255))/(567425+361760+28239)</f>
        <v>1.8956374695803878E-2</v>
      </c>
      <c r="H453" s="7"/>
      <c r="I453" t="s">
        <v>391</v>
      </c>
      <c r="J453" t="s">
        <v>392</v>
      </c>
      <c r="K453" s="6">
        <f t="shared" si="7"/>
        <v>0.58996101001446899</v>
      </c>
    </row>
    <row r="454" spans="1:11" x14ac:dyDescent="0.2">
      <c r="A454" t="s">
        <v>379</v>
      </c>
      <c r="B454">
        <v>2015</v>
      </c>
      <c r="C454" t="s">
        <v>383</v>
      </c>
      <c r="D454" t="s">
        <v>383</v>
      </c>
      <c r="E454" s="7">
        <f>(312506+25436+48120)/(312506+25436+443702+48120+83316)</f>
        <v>0.42281289700792923</v>
      </c>
      <c r="F454" s="7"/>
      <c r="G454" s="7">
        <f>(83316/2)/(312506+25436+443702+48120+83316)</f>
        <v>4.5623603627283481E-2</v>
      </c>
      <c r="H454" s="7"/>
      <c r="I454" t="s">
        <v>397</v>
      </c>
      <c r="J454" t="s">
        <v>399</v>
      </c>
      <c r="K454" s="6">
        <f t="shared" si="7"/>
        <v>0.46843650063521269</v>
      </c>
    </row>
    <row r="455" spans="1:11" x14ac:dyDescent="0.2">
      <c r="A455" s="8" t="s">
        <v>379</v>
      </c>
      <c r="B455">
        <v>2016</v>
      </c>
      <c r="C455" s="8" t="s">
        <v>379</v>
      </c>
      <c r="D455" t="s">
        <v>383</v>
      </c>
      <c r="E455" s="7">
        <f>(479463+77766+63406)/(479463+77766+301557+63406+36716)</f>
        <v>0.64723101694844554</v>
      </c>
      <c r="F455" s="7"/>
      <c r="G455" s="7">
        <f>(36716/2)/(479463+77766+301557+63406+36716)</f>
        <v>1.9144693755813905E-2</v>
      </c>
      <c r="H455" s="7"/>
      <c r="I455" t="s">
        <v>397</v>
      </c>
      <c r="J455" t="s">
        <v>400</v>
      </c>
      <c r="K455" s="6">
        <f t="shared" si="7"/>
        <v>0.66637571070425949</v>
      </c>
    </row>
    <row r="456" spans="1:11" x14ac:dyDescent="0.2">
      <c r="A456" s="8" t="s">
        <v>379</v>
      </c>
      <c r="B456">
        <v>2017</v>
      </c>
      <c r="C456" s="8" t="s">
        <v>379</v>
      </c>
      <c r="D456" t="s">
        <v>383</v>
      </c>
      <c r="E456" s="12">
        <f>(427554)/(427554+563208+53899)</f>
        <v>0.40927535344001548</v>
      </c>
      <c r="F456" s="7"/>
      <c r="G456" s="12">
        <f>(53899/2)/(427554+563208+53899)</f>
        <v>2.5797363929542693E-2</v>
      </c>
      <c r="H456" s="7"/>
      <c r="I456" t="s">
        <v>389</v>
      </c>
      <c r="J456" t="s">
        <v>390</v>
      </c>
      <c r="K456" s="6">
        <f t="shared" si="7"/>
        <v>0.43507271736955816</v>
      </c>
    </row>
    <row r="457" spans="1:11" x14ac:dyDescent="0.2">
      <c r="A457" s="8" t="s">
        <v>379</v>
      </c>
      <c r="B457">
        <v>2018</v>
      </c>
      <c r="C457" s="8" t="s">
        <v>379</v>
      </c>
      <c r="D457" t="s">
        <v>383</v>
      </c>
      <c r="E457" s="12">
        <f>(567425*(339385/352255))/(567425+361760+28239)</f>
        <v>0.57100463531866508</v>
      </c>
      <c r="F457" s="7"/>
      <c r="G457" s="12">
        <f>(567425*(11267/352255))/(567425+361760+28239)</f>
        <v>1.8956374695803878E-2</v>
      </c>
      <c r="H457" s="7"/>
      <c r="I457" t="s">
        <v>391</v>
      </c>
      <c r="J457" t="s">
        <v>392</v>
      </c>
      <c r="K457" s="6">
        <f t="shared" si="7"/>
        <v>0.58996101001446899</v>
      </c>
    </row>
    <row r="458" spans="1:11" x14ac:dyDescent="0.2">
      <c r="A458" t="s">
        <v>379</v>
      </c>
      <c r="B458">
        <v>2018</v>
      </c>
      <c r="C458" s="8" t="s">
        <v>379</v>
      </c>
      <c r="D458" t="s">
        <v>383</v>
      </c>
      <c r="E458" s="12">
        <f>(567425*(339385/352255))/(567425+361760+28239)</f>
        <v>0.57100463531866508</v>
      </c>
      <c r="F458" s="7"/>
      <c r="G458" s="12">
        <f>(567425*(11267/352255))/(567425+361760+28239)</f>
        <v>1.8956374695803878E-2</v>
      </c>
      <c r="H458" s="7"/>
      <c r="I458" t="s">
        <v>391</v>
      </c>
      <c r="J458" t="s">
        <v>392</v>
      </c>
      <c r="K458" s="6">
        <f t="shared" si="7"/>
        <v>0.58996101001446899</v>
      </c>
    </row>
    <row r="459" spans="1:11" x14ac:dyDescent="0.2">
      <c r="A459" t="s">
        <v>379</v>
      </c>
      <c r="B459">
        <v>2018</v>
      </c>
      <c r="C459" t="s">
        <v>383</v>
      </c>
      <c r="D459" t="s">
        <v>383</v>
      </c>
      <c r="E459" s="12">
        <f>(567425*(339385/352255))/(567425+361760+28239)</f>
        <v>0.57100463531866508</v>
      </c>
      <c r="F459" s="7"/>
      <c r="G459" s="12">
        <f>(567425*(11267/352255))/(567425+361760+28239)</f>
        <v>1.8956374695803878E-2</v>
      </c>
      <c r="H459" s="7"/>
      <c r="I459" t="s">
        <v>391</v>
      </c>
      <c r="J459" t="s">
        <v>392</v>
      </c>
      <c r="K459" s="6">
        <f t="shared" si="7"/>
        <v>0.58996101001446899</v>
      </c>
    </row>
    <row r="460" spans="1:11" x14ac:dyDescent="0.2">
      <c r="A460" t="s">
        <v>379</v>
      </c>
      <c r="B460">
        <v>2019</v>
      </c>
      <c r="C460" t="s">
        <v>383</v>
      </c>
      <c r="D460" t="s">
        <v>383</v>
      </c>
      <c r="E460" s="12">
        <f>(567425*(339385/352255))/(567425+361760+28239)</f>
        <v>0.57100463531866508</v>
      </c>
      <c r="F460" s="7"/>
      <c r="G460" s="12">
        <f>(567425*(11267/352255))/(567425+361760+28239)</f>
        <v>1.8956374695803878E-2</v>
      </c>
      <c r="H460" s="7"/>
      <c r="I460" t="s">
        <v>391</v>
      </c>
      <c r="J460" t="s">
        <v>392</v>
      </c>
      <c r="K460" s="6">
        <f t="shared" si="7"/>
        <v>0.58996101001446899</v>
      </c>
    </row>
    <row r="461" spans="1:11" x14ac:dyDescent="0.2">
      <c r="A461" t="s">
        <v>402</v>
      </c>
      <c r="B461">
        <v>2010</v>
      </c>
      <c r="C461" t="s">
        <v>403</v>
      </c>
      <c r="D461" t="s">
        <v>404</v>
      </c>
      <c r="E461" s="7">
        <f>(307876+3900)/(307876+496+3900)</f>
        <v>0.99841164113337089</v>
      </c>
      <c r="F461" s="7"/>
      <c r="G461" s="7"/>
      <c r="H461" s="7"/>
      <c r="I461" t="s">
        <v>405</v>
      </c>
      <c r="J461" t="s">
        <v>406</v>
      </c>
      <c r="K461" s="6">
        <f t="shared" si="7"/>
        <v>0.99841164113337089</v>
      </c>
    </row>
    <row r="462" spans="1:11" x14ac:dyDescent="0.2">
      <c r="A462" t="s">
        <v>402</v>
      </c>
      <c r="B462">
        <v>2015</v>
      </c>
      <c r="C462" t="s">
        <v>407</v>
      </c>
      <c r="D462" t="s">
        <v>407</v>
      </c>
      <c r="E462" s="7">
        <f>(45965+357844+403809+3267+79323)/(45965+357844+403809+2761+3267+79323)</f>
        <v>0.99690806735732151</v>
      </c>
      <c r="F462" s="7"/>
      <c r="G462" s="7"/>
      <c r="H462" s="7"/>
      <c r="I462" t="s">
        <v>408</v>
      </c>
      <c r="J462" t="s">
        <v>409</v>
      </c>
      <c r="K462" s="6">
        <f t="shared" si="7"/>
        <v>0.99690806735732151</v>
      </c>
    </row>
    <row r="463" spans="1:11" x14ac:dyDescent="0.2">
      <c r="A463" t="s">
        <v>402</v>
      </c>
      <c r="B463">
        <v>2010</v>
      </c>
      <c r="C463" t="s">
        <v>410</v>
      </c>
      <c r="D463" t="s">
        <v>410</v>
      </c>
      <c r="E463" s="7">
        <f>307.9/(3638.3+92.1+307.9+107.7+0.5+37)</f>
        <v>7.3598661407912033E-2</v>
      </c>
      <c r="F463" s="7"/>
      <c r="G463" s="7"/>
      <c r="H463" s="7"/>
      <c r="I463" t="s">
        <v>411</v>
      </c>
      <c r="J463" t="s">
        <v>412</v>
      </c>
      <c r="K463" s="6">
        <f t="shared" si="7"/>
        <v>7.3598661407912033E-2</v>
      </c>
    </row>
    <row r="464" spans="1:11" x14ac:dyDescent="0.2">
      <c r="A464" t="s">
        <v>402</v>
      </c>
      <c r="B464">
        <v>2016</v>
      </c>
      <c r="C464" t="s">
        <v>413</v>
      </c>
      <c r="D464" t="s">
        <v>413</v>
      </c>
      <c r="E464" s="7">
        <f>323.4/(3464.3+323.4+4.7+1+4.1+109.8)</f>
        <v>8.2768151920763686E-2</v>
      </c>
      <c r="F464" s="7"/>
      <c r="G464" s="7"/>
      <c r="H464" s="7"/>
      <c r="I464" t="s">
        <v>411</v>
      </c>
      <c r="J464" t="s">
        <v>414</v>
      </c>
      <c r="K464" s="6">
        <f t="shared" si="7"/>
        <v>8.2768151920763686E-2</v>
      </c>
    </row>
    <row r="465" spans="1:11" x14ac:dyDescent="0.2">
      <c r="A465" s="8" t="s">
        <v>402</v>
      </c>
      <c r="B465">
        <v>2017</v>
      </c>
      <c r="C465" s="8" t="s">
        <v>402</v>
      </c>
      <c r="D465" t="s">
        <v>413</v>
      </c>
      <c r="E465" s="7">
        <f>5888.6/(39929.4+5888.6+4706.8+2709.2+4159.7+5368.9)</f>
        <v>9.3823391637695069E-2</v>
      </c>
      <c r="F465" s="7"/>
      <c r="G465" s="7"/>
      <c r="H465" s="7"/>
      <c r="I465" t="s">
        <v>415</v>
      </c>
      <c r="J465" t="s">
        <v>416</v>
      </c>
      <c r="K465" s="6">
        <f t="shared" si="7"/>
        <v>9.3823391637695069E-2</v>
      </c>
    </row>
    <row r="466" spans="1:11" x14ac:dyDescent="0.2">
      <c r="A466" s="8" t="s">
        <v>402</v>
      </c>
      <c r="B466">
        <v>2018</v>
      </c>
      <c r="C466" s="8" t="s">
        <v>402</v>
      </c>
      <c r="D466" t="s">
        <v>413</v>
      </c>
      <c r="E466" s="7">
        <f>5888.6/(39929.4+5888.6+4706.8+2709.2+4159.7+5368.9)</f>
        <v>9.3823391637695069E-2</v>
      </c>
      <c r="F466" s="7"/>
      <c r="G466" s="7"/>
      <c r="H466" s="7"/>
      <c r="I466" t="s">
        <v>415</v>
      </c>
      <c r="J466" t="s">
        <v>416</v>
      </c>
      <c r="K466" s="6">
        <f t="shared" si="7"/>
        <v>9.3823391637695069E-2</v>
      </c>
    </row>
    <row r="467" spans="1:11" x14ac:dyDescent="0.2">
      <c r="A467" t="s">
        <v>402</v>
      </c>
      <c r="B467">
        <v>2015</v>
      </c>
      <c r="C467" t="s">
        <v>403</v>
      </c>
      <c r="D467" t="s">
        <v>403</v>
      </c>
      <c r="E467" s="7">
        <f>390.8/(3344.8+390.8+0.9+8.3+1.5+89.7)</f>
        <v>0.10187695516162669</v>
      </c>
      <c r="F467" s="7"/>
      <c r="G467" s="7"/>
      <c r="H467" s="7"/>
      <c r="I467" t="s">
        <v>417</v>
      </c>
      <c r="J467" t="s">
        <v>418</v>
      </c>
      <c r="K467" s="6">
        <f t="shared" si="7"/>
        <v>0.10187695516162669</v>
      </c>
    </row>
    <row r="468" spans="1:11" x14ac:dyDescent="0.2">
      <c r="A468" t="s">
        <v>402</v>
      </c>
      <c r="B468">
        <v>2016</v>
      </c>
      <c r="C468" t="s">
        <v>403</v>
      </c>
      <c r="D468" t="s">
        <v>403</v>
      </c>
      <c r="E468" s="7">
        <f>323.4/(3464.3+323.4+4.7+1+4.1+109.8)</f>
        <v>8.2768151920763686E-2</v>
      </c>
      <c r="F468" s="7"/>
      <c r="G468" s="7"/>
      <c r="H468" s="7"/>
      <c r="I468" t="s">
        <v>417</v>
      </c>
      <c r="J468" t="s">
        <v>414</v>
      </c>
      <c r="K468" s="6">
        <f t="shared" si="7"/>
        <v>8.2768151920763686E-2</v>
      </c>
    </row>
    <row r="469" spans="1:11" x14ac:dyDescent="0.2">
      <c r="A469" t="s">
        <v>402</v>
      </c>
      <c r="B469">
        <v>2017</v>
      </c>
      <c r="C469" t="s">
        <v>403</v>
      </c>
      <c r="D469" t="s">
        <v>403</v>
      </c>
      <c r="E469" s="7">
        <f>5888.6/(39929.4+5888.6+4706.8+2709.2+4159.7+5368.9)</f>
        <v>9.3823391637695069E-2</v>
      </c>
      <c r="F469" s="7"/>
      <c r="G469" s="7"/>
      <c r="H469" s="7"/>
      <c r="I469" t="s">
        <v>415</v>
      </c>
      <c r="J469" t="s">
        <v>416</v>
      </c>
      <c r="K469" s="6">
        <f t="shared" si="7"/>
        <v>9.3823391637695069E-2</v>
      </c>
    </row>
    <row r="470" spans="1:11" x14ac:dyDescent="0.2">
      <c r="A470" s="8" t="s">
        <v>402</v>
      </c>
      <c r="B470">
        <v>2018</v>
      </c>
      <c r="C470" s="8" t="s">
        <v>402</v>
      </c>
      <c r="D470" t="s">
        <v>403</v>
      </c>
      <c r="E470" s="7">
        <f>6007.2/(42260.5+6007.2+4772.3+2764.3+4006.2+4677.2)</f>
        <v>9.3152647714215275E-2</v>
      </c>
      <c r="F470" s="7"/>
      <c r="G470" s="7"/>
      <c r="H470" s="7"/>
      <c r="I470" t="s">
        <v>415</v>
      </c>
      <c r="J470" t="s">
        <v>419</v>
      </c>
      <c r="K470" s="6">
        <f t="shared" si="7"/>
        <v>9.3152647714215275E-2</v>
      </c>
    </row>
    <row r="471" spans="1:11" x14ac:dyDescent="0.2">
      <c r="A471" t="s">
        <v>402</v>
      </c>
      <c r="B471">
        <v>2018</v>
      </c>
      <c r="C471" s="8" t="s">
        <v>402</v>
      </c>
      <c r="D471" t="s">
        <v>403</v>
      </c>
      <c r="E471" s="7">
        <f>6007.2/(42260.5+6007.2+4772.3+2764.3+4006.2+4677.2)</f>
        <v>9.3152647714215275E-2</v>
      </c>
      <c r="F471" s="7"/>
      <c r="G471" s="7"/>
      <c r="H471" s="7"/>
      <c r="I471" t="s">
        <v>415</v>
      </c>
      <c r="J471" t="s">
        <v>419</v>
      </c>
      <c r="K471" s="6">
        <f t="shared" si="7"/>
        <v>9.3152647714215275E-2</v>
      </c>
    </row>
    <row r="472" spans="1:11" x14ac:dyDescent="0.2">
      <c r="A472" t="s">
        <v>402</v>
      </c>
      <c r="B472">
        <v>2018</v>
      </c>
      <c r="C472" t="s">
        <v>420</v>
      </c>
      <c r="D472" t="s">
        <v>420</v>
      </c>
      <c r="E472" s="7">
        <f>6007.2/(42260.5+6007.2+4772.3+2764.3+4006.2+4677.2)</f>
        <v>9.3152647714215275E-2</v>
      </c>
      <c r="F472" s="7"/>
      <c r="G472" s="7"/>
      <c r="H472" s="7"/>
      <c r="I472" t="s">
        <v>415</v>
      </c>
      <c r="J472" t="s">
        <v>419</v>
      </c>
      <c r="K472" s="6">
        <f t="shared" si="7"/>
        <v>9.3152647714215275E-2</v>
      </c>
    </row>
    <row r="473" spans="1:11" x14ac:dyDescent="0.2">
      <c r="A473" s="9" t="s">
        <v>402</v>
      </c>
      <c r="B473" s="9">
        <v>2019</v>
      </c>
      <c r="C473" s="9" t="s">
        <v>403</v>
      </c>
      <c r="D473" s="9" t="s">
        <v>403</v>
      </c>
      <c r="E473" s="10">
        <f>6007.2/(42260.5+6007.2+4772.3+2764.3+4006.2+4677.2)</f>
        <v>9.3152647714215275E-2</v>
      </c>
      <c r="F473" s="10"/>
      <c r="G473" s="10"/>
      <c r="H473" s="10"/>
      <c r="I473" s="9" t="s">
        <v>415</v>
      </c>
      <c r="J473" s="9" t="s">
        <v>419</v>
      </c>
      <c r="K473" s="6">
        <f t="shared" si="7"/>
        <v>9.3152647714215275E-2</v>
      </c>
    </row>
    <row r="474" spans="1:11" x14ac:dyDescent="0.2">
      <c r="A474" t="s">
        <v>402</v>
      </c>
      <c r="B474">
        <v>2012</v>
      </c>
      <c r="C474" t="s">
        <v>403</v>
      </c>
      <c r="D474" t="s">
        <v>421</v>
      </c>
      <c r="E474" s="7">
        <f>398.7/(3523+398.7+0.2+270.2+30.8+26.1)</f>
        <v>9.3833843257236996E-2</v>
      </c>
      <c r="F474" s="7"/>
      <c r="G474" s="7"/>
      <c r="H474" s="7"/>
      <c r="I474" t="s">
        <v>422</v>
      </c>
      <c r="J474" t="s">
        <v>423</v>
      </c>
      <c r="K474" s="6">
        <f t="shared" si="7"/>
        <v>9.3833843257236996E-2</v>
      </c>
    </row>
    <row r="475" spans="1:11" x14ac:dyDescent="0.2">
      <c r="A475" t="s">
        <v>402</v>
      </c>
      <c r="B475">
        <v>2016</v>
      </c>
      <c r="C475" t="s">
        <v>421</v>
      </c>
      <c r="D475" t="s">
        <v>421</v>
      </c>
      <c r="E475" s="7">
        <f>323.4/(3464.3+323.4+4.7+1+4.1+109.8)</f>
        <v>8.2768151920763686E-2</v>
      </c>
      <c r="F475" s="7"/>
      <c r="G475" s="7"/>
      <c r="H475" s="7"/>
      <c r="I475" t="s">
        <v>411</v>
      </c>
      <c r="J475" t="s">
        <v>414</v>
      </c>
      <c r="K475" s="6">
        <f t="shared" si="7"/>
        <v>8.2768151920763686E-2</v>
      </c>
    </row>
    <row r="476" spans="1:11" x14ac:dyDescent="0.2">
      <c r="A476" s="8" t="s">
        <v>402</v>
      </c>
      <c r="B476">
        <v>2017</v>
      </c>
      <c r="C476" s="8" t="s">
        <v>402</v>
      </c>
      <c r="D476" t="s">
        <v>421</v>
      </c>
      <c r="E476" s="7">
        <f>5888.6/(39929.4+5888.6+4706.8+2709.2+4159.7+5368.9)</f>
        <v>9.3823391637695069E-2</v>
      </c>
      <c r="F476" s="7"/>
      <c r="G476" s="7"/>
      <c r="H476" s="7"/>
      <c r="I476" t="s">
        <v>415</v>
      </c>
      <c r="J476" t="s">
        <v>416</v>
      </c>
      <c r="K476" s="6">
        <f t="shared" si="7"/>
        <v>9.3823391637695069E-2</v>
      </c>
    </row>
    <row r="477" spans="1:11" x14ac:dyDescent="0.2">
      <c r="A477" s="8" t="s">
        <v>402</v>
      </c>
      <c r="B477">
        <v>2018</v>
      </c>
      <c r="C477" s="8" t="s">
        <v>402</v>
      </c>
      <c r="D477" t="s">
        <v>421</v>
      </c>
      <c r="E477" s="7">
        <f>6007.2/(42260.5+6007.2+4772.3+2764.3+4006.2+4677.2)</f>
        <v>9.3152647714215275E-2</v>
      </c>
      <c r="F477" s="7"/>
      <c r="G477" s="7"/>
      <c r="H477" s="7"/>
      <c r="I477" t="s">
        <v>415</v>
      </c>
      <c r="J477" t="s">
        <v>419</v>
      </c>
      <c r="K477" s="6">
        <f t="shared" si="7"/>
        <v>9.3152647714215275E-2</v>
      </c>
    </row>
    <row r="478" spans="1:11" x14ac:dyDescent="0.2">
      <c r="A478" t="s">
        <v>402</v>
      </c>
      <c r="B478">
        <v>2018</v>
      </c>
      <c r="C478" s="8" t="s">
        <v>402</v>
      </c>
      <c r="D478" t="s">
        <v>421</v>
      </c>
      <c r="E478" s="7">
        <f>6007.2/(42260.5+6007.2+4772.3+2764.3+4006.2+4677.2)</f>
        <v>9.3152647714215275E-2</v>
      </c>
      <c r="F478" s="7"/>
      <c r="G478" s="7"/>
      <c r="H478" s="7"/>
      <c r="I478" t="s">
        <v>415</v>
      </c>
      <c r="J478" t="s">
        <v>419</v>
      </c>
      <c r="K478" s="6">
        <f t="shared" si="7"/>
        <v>9.3152647714215275E-2</v>
      </c>
    </row>
    <row r="479" spans="1:11" x14ac:dyDescent="0.2">
      <c r="A479" s="9" t="s">
        <v>402</v>
      </c>
      <c r="B479" s="9">
        <v>2019</v>
      </c>
      <c r="C479" s="9" t="s">
        <v>421</v>
      </c>
      <c r="D479" s="9" t="s">
        <v>421</v>
      </c>
      <c r="E479" s="10">
        <f>6007.2/(42260.5+6007.2+4772.3+2764.3+4006.2+4677.2)</f>
        <v>9.3152647714215275E-2</v>
      </c>
      <c r="F479" s="10"/>
      <c r="G479" s="10"/>
      <c r="H479" s="10"/>
      <c r="I479" s="9" t="s">
        <v>415</v>
      </c>
      <c r="J479" s="9" t="s">
        <v>419</v>
      </c>
      <c r="K479" s="6">
        <f t="shared" si="7"/>
        <v>9.3152647714215275E-2</v>
      </c>
    </row>
    <row r="480" spans="1:11" x14ac:dyDescent="0.2">
      <c r="A480" t="s">
        <v>402</v>
      </c>
      <c r="B480">
        <v>2015</v>
      </c>
      <c r="C480" t="s">
        <v>424</v>
      </c>
      <c r="D480" t="s">
        <v>424</v>
      </c>
      <c r="E480" s="7">
        <f>(45965+357844+403809+3267+79323)/(45965+357844+403809+2761+3267+79323)</f>
        <v>0.99690806735732151</v>
      </c>
      <c r="F480" s="7"/>
      <c r="G480" s="7"/>
      <c r="H480" s="7"/>
      <c r="I480" t="s">
        <v>425</v>
      </c>
      <c r="J480" t="s">
        <v>426</v>
      </c>
      <c r="K480" s="6">
        <f t="shared" si="7"/>
        <v>0.99690806735732151</v>
      </c>
    </row>
    <row r="481" spans="1:11" x14ac:dyDescent="0.2">
      <c r="A481" t="s">
        <v>402</v>
      </c>
      <c r="B481">
        <v>2016</v>
      </c>
      <c r="C481" t="s">
        <v>424</v>
      </c>
      <c r="D481" t="s">
        <v>424</v>
      </c>
      <c r="E481" s="12">
        <f>(322362+2161)/(322362+211+2161+89063)</f>
        <v>0.78425653158432762</v>
      </c>
      <c r="F481" s="7"/>
      <c r="G481" s="7"/>
      <c r="H481" s="7"/>
      <c r="I481" t="s">
        <v>427</v>
      </c>
      <c r="J481" t="s">
        <v>428</v>
      </c>
      <c r="K481" s="6">
        <f t="shared" si="7"/>
        <v>0.78425653158432762</v>
      </c>
    </row>
    <row r="482" spans="1:11" x14ac:dyDescent="0.2">
      <c r="A482" t="s">
        <v>402</v>
      </c>
      <c r="B482">
        <v>2017</v>
      </c>
      <c r="C482" t="s">
        <v>424</v>
      </c>
      <c r="D482" t="s">
        <v>424</v>
      </c>
      <c r="E482" s="12">
        <f>(5349003+122519+489294)/(5349003+553181+122519+489294+500426)</f>
        <v>0.84979420260226679</v>
      </c>
      <c r="F482" s="7"/>
      <c r="G482" s="7"/>
      <c r="H482" s="7"/>
      <c r="I482" t="s">
        <v>429</v>
      </c>
      <c r="J482" t="s">
        <v>430</v>
      </c>
      <c r="K482" s="6">
        <f t="shared" si="7"/>
        <v>0.84979420260226679</v>
      </c>
    </row>
    <row r="483" spans="1:11" x14ac:dyDescent="0.2">
      <c r="A483" s="8" t="s">
        <v>402</v>
      </c>
      <c r="B483">
        <v>2018</v>
      </c>
      <c r="C483" s="8" t="s">
        <v>402</v>
      </c>
      <c r="D483" t="s">
        <v>424</v>
      </c>
      <c r="E483" s="12">
        <f>(5441086+28521+514009+350631)/(5441086+457783+28521+514009+350631)</f>
        <v>0.93259997379281301</v>
      </c>
      <c r="F483" s="7"/>
      <c r="G483" s="7"/>
      <c r="H483" s="7"/>
      <c r="I483" t="s">
        <v>429</v>
      </c>
      <c r="J483" t="s">
        <v>431</v>
      </c>
      <c r="K483" s="6">
        <f t="shared" si="7"/>
        <v>0.93259997379281301</v>
      </c>
    </row>
    <row r="484" spans="1:11" x14ac:dyDescent="0.2">
      <c r="A484" t="s">
        <v>402</v>
      </c>
      <c r="B484">
        <v>2018</v>
      </c>
      <c r="C484" s="8" t="s">
        <v>402</v>
      </c>
      <c r="D484" t="s">
        <v>424</v>
      </c>
      <c r="E484" s="12">
        <f>(5441086+28521+514009+350631)/(5441086+457783+28521+514009+350631)</f>
        <v>0.93259997379281301</v>
      </c>
      <c r="F484" s="7"/>
      <c r="G484" s="7"/>
      <c r="H484" s="7"/>
      <c r="I484" t="s">
        <v>429</v>
      </c>
      <c r="J484" t="s">
        <v>431</v>
      </c>
      <c r="K484" s="6">
        <f t="shared" si="7"/>
        <v>0.93259997379281301</v>
      </c>
    </row>
    <row r="485" spans="1:11" x14ac:dyDescent="0.2">
      <c r="A485" t="s">
        <v>402</v>
      </c>
      <c r="B485">
        <v>2018</v>
      </c>
      <c r="C485" t="s">
        <v>432</v>
      </c>
      <c r="D485" t="s">
        <v>432</v>
      </c>
      <c r="E485" s="12">
        <f>(5441086+28521+514009+350631)/(5441086+457783+28521+514009+350631)</f>
        <v>0.93259997379281301</v>
      </c>
      <c r="F485" s="7"/>
      <c r="G485" s="7"/>
      <c r="H485" s="7"/>
      <c r="I485" t="s">
        <v>429</v>
      </c>
      <c r="J485" t="s">
        <v>431</v>
      </c>
      <c r="K485" s="6">
        <f t="shared" si="7"/>
        <v>0.93259997379281301</v>
      </c>
    </row>
    <row r="486" spans="1:11" x14ac:dyDescent="0.2">
      <c r="A486" s="9" t="s">
        <v>402</v>
      </c>
      <c r="B486" s="9">
        <v>2019</v>
      </c>
      <c r="C486" s="9" t="s">
        <v>424</v>
      </c>
      <c r="D486" s="9" t="s">
        <v>424</v>
      </c>
      <c r="E486" s="13">
        <f>(5441086+28521+514009+350631)/(5441086+457783+28521+514009+350631)</f>
        <v>0.93259997379281301</v>
      </c>
      <c r="F486" s="10"/>
      <c r="G486" s="10"/>
      <c r="H486" s="10"/>
      <c r="I486" s="9" t="s">
        <v>429</v>
      </c>
      <c r="J486" s="9" t="s">
        <v>431</v>
      </c>
      <c r="K486" s="6">
        <f t="shared" si="7"/>
        <v>0.93259997379281301</v>
      </c>
    </row>
    <row r="487" spans="1:11" x14ac:dyDescent="0.2">
      <c r="A487" t="s">
        <v>402</v>
      </c>
      <c r="B487">
        <v>2013</v>
      </c>
      <c r="C487" t="s">
        <v>403</v>
      </c>
      <c r="D487" t="s">
        <v>433</v>
      </c>
      <c r="E487" s="7">
        <f>(106117+292549+398666+7669)/(106117+292549+398666+9718+7669+12039)</f>
        <v>0.97368395588551915</v>
      </c>
      <c r="F487" s="7"/>
      <c r="G487" s="7"/>
      <c r="H487" s="7"/>
      <c r="I487" t="s">
        <v>434</v>
      </c>
      <c r="J487" t="s">
        <v>435</v>
      </c>
      <c r="K487" s="6">
        <f t="shared" si="7"/>
        <v>0.97368395588551915</v>
      </c>
    </row>
    <row r="488" spans="1:11" x14ac:dyDescent="0.2">
      <c r="A488" s="8" t="s">
        <v>402</v>
      </c>
      <c r="B488">
        <v>2017</v>
      </c>
      <c r="C488" s="8" t="s">
        <v>402</v>
      </c>
      <c r="D488" t="s">
        <v>436</v>
      </c>
      <c r="E488" s="7">
        <f>5888.6/(39929.4+5888.6+4706.8+2709.2+4159.7+5368.9)</f>
        <v>9.3823391637695069E-2</v>
      </c>
      <c r="F488" s="7"/>
      <c r="G488" s="7"/>
      <c r="H488" s="7"/>
      <c r="I488" t="s">
        <v>415</v>
      </c>
      <c r="J488" t="s">
        <v>416</v>
      </c>
      <c r="K488" s="6">
        <f t="shared" si="7"/>
        <v>9.3823391637695069E-2</v>
      </c>
    </row>
    <row r="489" spans="1:11" x14ac:dyDescent="0.2">
      <c r="A489" s="8" t="s">
        <v>402</v>
      </c>
      <c r="B489">
        <v>2018</v>
      </c>
      <c r="C489" s="8" t="s">
        <v>402</v>
      </c>
      <c r="D489" t="s">
        <v>436</v>
      </c>
      <c r="E489" s="7">
        <f>6007.2/(42260.5+6007.2+4772.3+2764.3+4006.2+4677.2)</f>
        <v>9.3152647714215275E-2</v>
      </c>
      <c r="F489" s="7"/>
      <c r="G489" s="7"/>
      <c r="H489" s="7"/>
      <c r="I489" t="s">
        <v>415</v>
      </c>
      <c r="J489" t="s">
        <v>419</v>
      </c>
      <c r="K489" s="6">
        <f t="shared" si="7"/>
        <v>9.3152647714215275E-2</v>
      </c>
    </row>
    <row r="490" spans="1:11" x14ac:dyDescent="0.2">
      <c r="A490" t="s">
        <v>402</v>
      </c>
      <c r="B490">
        <v>2018</v>
      </c>
      <c r="C490" s="8" t="s">
        <v>402</v>
      </c>
      <c r="D490" t="s">
        <v>436</v>
      </c>
      <c r="E490" s="7">
        <f>6007.2/(42260.5+6007.2+4772.3+2764.3+4006.2+4677.2)</f>
        <v>9.3152647714215275E-2</v>
      </c>
      <c r="F490" s="7"/>
      <c r="G490" s="7"/>
      <c r="H490" s="7"/>
      <c r="I490" t="s">
        <v>415</v>
      </c>
      <c r="J490" t="s">
        <v>419</v>
      </c>
      <c r="K490" s="6">
        <f t="shared" si="7"/>
        <v>9.3152647714215275E-2</v>
      </c>
    </row>
    <row r="491" spans="1:11" x14ac:dyDescent="0.2">
      <c r="A491" t="s">
        <v>402</v>
      </c>
      <c r="B491">
        <v>2017</v>
      </c>
      <c r="C491" t="s">
        <v>437</v>
      </c>
      <c r="D491" t="s">
        <v>437</v>
      </c>
      <c r="E491" s="7">
        <f>5888.6/(39929.4+5888.6+4706.8+2709.2+4159.7+5368.9)</f>
        <v>9.3823391637695069E-2</v>
      </c>
      <c r="F491" s="7"/>
      <c r="G491" s="7"/>
      <c r="H491" s="7"/>
      <c r="I491" t="s">
        <v>415</v>
      </c>
      <c r="J491" t="s">
        <v>416</v>
      </c>
      <c r="K491" s="6">
        <f t="shared" si="7"/>
        <v>9.3823391637695069E-2</v>
      </c>
    </row>
    <row r="492" spans="1:11" x14ac:dyDescent="0.2">
      <c r="A492" s="8" t="s">
        <v>402</v>
      </c>
      <c r="B492">
        <v>2016</v>
      </c>
      <c r="C492" s="8" t="s">
        <v>402</v>
      </c>
      <c r="D492" t="s">
        <v>438</v>
      </c>
      <c r="E492" s="12">
        <f>(322362+2161)/(322362+211+2161+89063)</f>
        <v>0.78425653158432762</v>
      </c>
      <c r="F492" s="7"/>
      <c r="G492" s="7"/>
      <c r="H492" s="7"/>
      <c r="I492" t="s">
        <v>427</v>
      </c>
      <c r="J492" t="s">
        <v>428</v>
      </c>
      <c r="K492" s="6">
        <f t="shared" si="7"/>
        <v>0.78425653158432762</v>
      </c>
    </row>
    <row r="493" spans="1:11" x14ac:dyDescent="0.2">
      <c r="A493" t="s">
        <v>402</v>
      </c>
      <c r="B493">
        <v>2016</v>
      </c>
      <c r="C493" t="s">
        <v>403</v>
      </c>
      <c r="D493" t="s">
        <v>439</v>
      </c>
      <c r="E493" s="12">
        <f>(322362+2161)/(322362+211+2161+89063)</f>
        <v>0.78425653158432762</v>
      </c>
      <c r="F493" s="7"/>
      <c r="G493" s="7"/>
      <c r="H493" s="7"/>
      <c r="I493" t="s">
        <v>440</v>
      </c>
      <c r="J493" t="s">
        <v>428</v>
      </c>
      <c r="K493" s="6">
        <f t="shared" si="7"/>
        <v>0.78425653158432762</v>
      </c>
    </row>
    <row r="494" spans="1:11" x14ac:dyDescent="0.2">
      <c r="A494" t="s">
        <v>441</v>
      </c>
      <c r="B494">
        <v>2015</v>
      </c>
      <c r="C494" t="s">
        <v>442</v>
      </c>
      <c r="D494" t="s">
        <v>442</v>
      </c>
      <c r="E494" s="7"/>
      <c r="F494" s="7"/>
      <c r="G494" s="7"/>
      <c r="H494" s="7">
        <v>2.5000000000000001E-2</v>
      </c>
      <c r="I494" t="s">
        <v>443</v>
      </c>
      <c r="K494" s="6">
        <f t="shared" si="7"/>
        <v>2.5000000000000001E-2</v>
      </c>
    </row>
    <row r="495" spans="1:11" x14ac:dyDescent="0.2">
      <c r="A495" t="s">
        <v>441</v>
      </c>
      <c r="B495">
        <v>2016</v>
      </c>
      <c r="C495" t="s">
        <v>442</v>
      </c>
      <c r="D495" t="s">
        <v>442</v>
      </c>
      <c r="E495" s="7"/>
      <c r="F495" s="7"/>
      <c r="G495" s="7"/>
      <c r="H495" s="7">
        <v>2.5000000000000001E-2</v>
      </c>
      <c r="I495" t="s">
        <v>443</v>
      </c>
      <c r="K495" s="6">
        <f t="shared" si="7"/>
        <v>2.5000000000000001E-2</v>
      </c>
    </row>
    <row r="496" spans="1:11" x14ac:dyDescent="0.2">
      <c r="A496" s="8" t="s">
        <v>441</v>
      </c>
      <c r="B496">
        <v>2017</v>
      </c>
      <c r="C496" s="8" t="s">
        <v>441</v>
      </c>
      <c r="D496" t="s">
        <v>442</v>
      </c>
      <c r="E496" s="7"/>
      <c r="F496" s="7"/>
      <c r="G496" s="7"/>
      <c r="H496" s="7">
        <v>2.5000000000000001E-2</v>
      </c>
      <c r="I496" t="s">
        <v>443</v>
      </c>
      <c r="K496" s="6">
        <f t="shared" si="7"/>
        <v>2.5000000000000001E-2</v>
      </c>
    </row>
    <row r="497" spans="1:11" x14ac:dyDescent="0.2">
      <c r="A497" s="8" t="s">
        <v>441</v>
      </c>
      <c r="B497">
        <v>2018</v>
      </c>
      <c r="C497" s="8" t="s">
        <v>441</v>
      </c>
      <c r="D497" t="s">
        <v>442</v>
      </c>
      <c r="E497" s="7"/>
      <c r="F497" s="7"/>
      <c r="G497" s="7"/>
      <c r="H497" s="7">
        <v>1.2500000000000001E-2</v>
      </c>
      <c r="I497" t="s">
        <v>444</v>
      </c>
      <c r="K497" s="6">
        <f t="shared" si="7"/>
        <v>1.2500000000000001E-2</v>
      </c>
    </row>
    <row r="498" spans="1:11" x14ac:dyDescent="0.2">
      <c r="A498" t="s">
        <v>441</v>
      </c>
      <c r="B498">
        <v>2018</v>
      </c>
      <c r="C498" s="8" t="s">
        <v>441</v>
      </c>
      <c r="D498" t="s">
        <v>442</v>
      </c>
      <c r="E498" s="7"/>
      <c r="F498" s="7"/>
      <c r="G498" s="7"/>
      <c r="H498" s="7">
        <v>1.2500000000000001E-2</v>
      </c>
      <c r="I498" t="s">
        <v>444</v>
      </c>
      <c r="K498" s="6">
        <f t="shared" si="7"/>
        <v>1.2500000000000001E-2</v>
      </c>
    </row>
    <row r="499" spans="1:11" x14ac:dyDescent="0.2">
      <c r="A499" t="s">
        <v>441</v>
      </c>
      <c r="B499">
        <v>2018</v>
      </c>
      <c r="C499" t="s">
        <v>442</v>
      </c>
      <c r="D499" t="s">
        <v>442</v>
      </c>
      <c r="E499" s="7"/>
      <c r="F499" s="7"/>
      <c r="G499" s="7"/>
      <c r="H499" s="7">
        <v>1.2500000000000001E-2</v>
      </c>
      <c r="I499" t="s">
        <v>444</v>
      </c>
      <c r="K499" s="6">
        <f t="shared" si="7"/>
        <v>1.2500000000000001E-2</v>
      </c>
    </row>
    <row r="500" spans="1:11" x14ac:dyDescent="0.2">
      <c r="A500" t="s">
        <v>441</v>
      </c>
      <c r="B500">
        <v>2019</v>
      </c>
      <c r="C500" t="s">
        <v>442</v>
      </c>
      <c r="D500" t="s">
        <v>442</v>
      </c>
      <c r="E500" s="7"/>
      <c r="F500" s="7"/>
      <c r="G500" s="7"/>
      <c r="H500" s="7">
        <v>1.2500000000000001E-2</v>
      </c>
      <c r="I500" t="s">
        <v>444</v>
      </c>
      <c r="K500" s="6">
        <f t="shared" si="7"/>
        <v>1.2500000000000001E-2</v>
      </c>
    </row>
    <row r="501" spans="1:11" x14ac:dyDescent="0.2">
      <c r="A501" t="s">
        <v>441</v>
      </c>
      <c r="B501">
        <v>2015</v>
      </c>
      <c r="C501" t="s">
        <v>445</v>
      </c>
      <c r="D501" t="s">
        <v>445</v>
      </c>
      <c r="E501" s="7"/>
      <c r="F501" s="7"/>
      <c r="G501" s="7"/>
      <c r="H501" s="7">
        <v>2.5000000000000001E-2</v>
      </c>
      <c r="I501" t="s">
        <v>443</v>
      </c>
      <c r="K501" s="6">
        <f t="shared" si="7"/>
        <v>2.5000000000000001E-2</v>
      </c>
    </row>
    <row r="502" spans="1:11" x14ac:dyDescent="0.2">
      <c r="A502" t="s">
        <v>441</v>
      </c>
      <c r="B502">
        <v>2016</v>
      </c>
      <c r="C502" t="s">
        <v>445</v>
      </c>
      <c r="D502" t="s">
        <v>445</v>
      </c>
      <c r="E502" s="7"/>
      <c r="F502" s="7"/>
      <c r="G502" s="7"/>
      <c r="H502" s="7">
        <v>2.5000000000000001E-2</v>
      </c>
      <c r="I502" t="s">
        <v>443</v>
      </c>
      <c r="K502" s="6">
        <f t="shared" si="7"/>
        <v>2.5000000000000001E-2</v>
      </c>
    </row>
    <row r="503" spans="1:11" x14ac:dyDescent="0.2">
      <c r="A503" s="8" t="s">
        <v>441</v>
      </c>
      <c r="B503">
        <v>2017</v>
      </c>
      <c r="C503" s="8" t="s">
        <v>441</v>
      </c>
      <c r="D503" t="s">
        <v>445</v>
      </c>
      <c r="E503" s="7"/>
      <c r="F503" s="7"/>
      <c r="G503" s="7"/>
      <c r="H503" s="7">
        <v>2.5000000000000001E-2</v>
      </c>
      <c r="I503" t="s">
        <v>443</v>
      </c>
      <c r="K503" s="6">
        <f t="shared" si="7"/>
        <v>2.5000000000000001E-2</v>
      </c>
    </row>
    <row r="504" spans="1:11" x14ac:dyDescent="0.2">
      <c r="A504" s="8" t="s">
        <v>441</v>
      </c>
      <c r="B504">
        <v>2018</v>
      </c>
      <c r="C504" s="8" t="s">
        <v>441</v>
      </c>
      <c r="D504" t="s">
        <v>445</v>
      </c>
      <c r="E504" s="7"/>
      <c r="F504" s="7"/>
      <c r="G504" s="7"/>
      <c r="H504" s="7">
        <v>1.2500000000000001E-2</v>
      </c>
      <c r="I504" t="s">
        <v>444</v>
      </c>
      <c r="K504" s="6">
        <f t="shared" si="7"/>
        <v>1.2500000000000001E-2</v>
      </c>
    </row>
    <row r="505" spans="1:11" x14ac:dyDescent="0.2">
      <c r="A505" t="s">
        <v>441</v>
      </c>
      <c r="B505">
        <v>2018</v>
      </c>
      <c r="C505" s="8" t="s">
        <v>441</v>
      </c>
      <c r="D505" t="s">
        <v>445</v>
      </c>
      <c r="E505" s="7"/>
      <c r="F505" s="7"/>
      <c r="G505" s="7"/>
      <c r="H505" s="7">
        <v>1.2500000000000001E-2</v>
      </c>
      <c r="I505" t="s">
        <v>444</v>
      </c>
      <c r="K505" s="6">
        <f t="shared" si="7"/>
        <v>1.2500000000000001E-2</v>
      </c>
    </row>
    <row r="506" spans="1:11" x14ac:dyDescent="0.2">
      <c r="A506" t="s">
        <v>441</v>
      </c>
      <c r="B506">
        <v>2018</v>
      </c>
      <c r="C506" t="s">
        <v>445</v>
      </c>
      <c r="D506" t="s">
        <v>445</v>
      </c>
      <c r="E506" s="7"/>
      <c r="F506" s="7"/>
      <c r="G506" s="7"/>
      <c r="H506" s="7">
        <v>1.2500000000000001E-2</v>
      </c>
      <c r="I506" t="s">
        <v>444</v>
      </c>
      <c r="K506" s="6">
        <f t="shared" si="7"/>
        <v>1.2500000000000001E-2</v>
      </c>
    </row>
    <row r="507" spans="1:11" x14ac:dyDescent="0.2">
      <c r="A507" t="s">
        <v>441</v>
      </c>
      <c r="B507">
        <v>2019</v>
      </c>
      <c r="C507" t="s">
        <v>445</v>
      </c>
      <c r="D507" t="s">
        <v>445</v>
      </c>
      <c r="E507" s="7"/>
      <c r="F507" s="7"/>
      <c r="G507" s="7"/>
      <c r="H507" s="7">
        <v>1.2500000000000001E-2</v>
      </c>
      <c r="I507" t="s">
        <v>444</v>
      </c>
      <c r="K507" s="6">
        <f t="shared" si="7"/>
        <v>1.2500000000000001E-2</v>
      </c>
    </row>
    <row r="508" spans="1:11" x14ac:dyDescent="0.2">
      <c r="A508" t="s">
        <v>441</v>
      </c>
      <c r="B508">
        <v>2015</v>
      </c>
      <c r="C508" t="s">
        <v>446</v>
      </c>
      <c r="D508" t="s">
        <v>446</v>
      </c>
      <c r="E508" s="7"/>
      <c r="F508" s="7"/>
      <c r="G508" s="7"/>
      <c r="H508" s="7">
        <v>2.5000000000000001E-2</v>
      </c>
      <c r="I508" t="s">
        <v>443</v>
      </c>
      <c r="K508" s="6">
        <f t="shared" si="7"/>
        <v>2.5000000000000001E-2</v>
      </c>
    </row>
    <row r="509" spans="1:11" x14ac:dyDescent="0.2">
      <c r="A509" t="s">
        <v>441</v>
      </c>
      <c r="B509">
        <v>2016</v>
      </c>
      <c r="C509" t="s">
        <v>446</v>
      </c>
      <c r="D509" t="s">
        <v>446</v>
      </c>
      <c r="E509" s="7"/>
      <c r="F509" s="7"/>
      <c r="G509" s="7"/>
      <c r="H509" s="7">
        <v>2.5000000000000001E-2</v>
      </c>
      <c r="I509" t="s">
        <v>443</v>
      </c>
      <c r="K509" s="6">
        <f t="shared" si="7"/>
        <v>2.5000000000000001E-2</v>
      </c>
    </row>
    <row r="510" spans="1:11" x14ac:dyDescent="0.2">
      <c r="A510" s="8" t="s">
        <v>441</v>
      </c>
      <c r="B510">
        <v>2017</v>
      </c>
      <c r="C510" s="8" t="s">
        <v>441</v>
      </c>
      <c r="D510" t="s">
        <v>446</v>
      </c>
      <c r="E510" s="7"/>
      <c r="F510" s="7"/>
      <c r="G510" s="7"/>
      <c r="H510" s="7">
        <v>2.5000000000000001E-2</v>
      </c>
      <c r="I510" t="s">
        <v>443</v>
      </c>
      <c r="K510" s="6">
        <f t="shared" si="7"/>
        <v>2.5000000000000001E-2</v>
      </c>
    </row>
    <row r="511" spans="1:11" x14ac:dyDescent="0.2">
      <c r="A511" s="8" t="s">
        <v>441</v>
      </c>
      <c r="B511">
        <v>2018</v>
      </c>
      <c r="C511" s="8" t="s">
        <v>441</v>
      </c>
      <c r="D511" t="s">
        <v>446</v>
      </c>
      <c r="E511" s="7"/>
      <c r="F511" s="7"/>
      <c r="G511" s="7"/>
      <c r="H511" s="7">
        <v>1.2500000000000001E-2</v>
      </c>
      <c r="I511" t="s">
        <v>444</v>
      </c>
      <c r="K511" s="6">
        <f t="shared" si="7"/>
        <v>1.2500000000000001E-2</v>
      </c>
    </row>
    <row r="512" spans="1:11" x14ac:dyDescent="0.2">
      <c r="A512" t="s">
        <v>441</v>
      </c>
      <c r="B512">
        <v>2018</v>
      </c>
      <c r="C512" s="8" t="s">
        <v>441</v>
      </c>
      <c r="D512" t="s">
        <v>446</v>
      </c>
      <c r="E512" s="7"/>
      <c r="F512" s="7"/>
      <c r="G512" s="7"/>
      <c r="H512" s="7">
        <v>1.2500000000000001E-2</v>
      </c>
      <c r="I512" t="s">
        <v>444</v>
      </c>
      <c r="K512" s="6">
        <f t="shared" si="7"/>
        <v>1.2500000000000001E-2</v>
      </c>
    </row>
    <row r="513" spans="1:11" x14ac:dyDescent="0.2">
      <c r="A513" t="s">
        <v>441</v>
      </c>
      <c r="B513">
        <v>2018</v>
      </c>
      <c r="C513" t="s">
        <v>446</v>
      </c>
      <c r="D513" t="s">
        <v>446</v>
      </c>
      <c r="E513" s="7"/>
      <c r="F513" s="7"/>
      <c r="G513" s="7"/>
      <c r="H513" s="7">
        <v>1.2500000000000001E-2</v>
      </c>
      <c r="I513" t="s">
        <v>444</v>
      </c>
      <c r="K513" s="6">
        <f t="shared" si="7"/>
        <v>1.2500000000000001E-2</v>
      </c>
    </row>
    <row r="514" spans="1:11" x14ac:dyDescent="0.2">
      <c r="A514" t="s">
        <v>441</v>
      </c>
      <c r="B514">
        <v>2019</v>
      </c>
      <c r="C514" t="s">
        <v>446</v>
      </c>
      <c r="D514" t="s">
        <v>446</v>
      </c>
      <c r="E514" s="7"/>
      <c r="F514" s="7"/>
      <c r="G514" s="7"/>
      <c r="H514" s="7">
        <v>1.2500000000000001E-2</v>
      </c>
      <c r="I514" t="s">
        <v>444</v>
      </c>
      <c r="K514" s="6">
        <f t="shared" ref="K514:K577" si="8">SUM(E514:H514)</f>
        <v>1.2500000000000001E-2</v>
      </c>
    </row>
    <row r="515" spans="1:11" x14ac:dyDescent="0.2">
      <c r="A515" t="s">
        <v>441</v>
      </c>
      <c r="B515">
        <v>2013</v>
      </c>
      <c r="C515" t="s">
        <v>447</v>
      </c>
      <c r="D515" t="s">
        <v>447</v>
      </c>
      <c r="E515" s="7"/>
      <c r="F515" s="7"/>
      <c r="G515" s="7"/>
      <c r="H515" s="7">
        <v>2.5000000000000001E-2</v>
      </c>
      <c r="I515" t="s">
        <v>443</v>
      </c>
      <c r="K515" s="6">
        <f t="shared" si="8"/>
        <v>2.5000000000000001E-2</v>
      </c>
    </row>
    <row r="516" spans="1:11" x14ac:dyDescent="0.2">
      <c r="A516" t="s">
        <v>441</v>
      </c>
      <c r="B516">
        <v>2010</v>
      </c>
      <c r="C516" t="s">
        <v>448</v>
      </c>
      <c r="D516" t="s">
        <v>448</v>
      </c>
      <c r="E516" s="7"/>
      <c r="F516" s="7"/>
      <c r="G516" s="7"/>
      <c r="H516" s="7">
        <v>2.5000000000000001E-2</v>
      </c>
      <c r="I516" t="s">
        <v>443</v>
      </c>
      <c r="K516" s="6">
        <f t="shared" si="8"/>
        <v>2.5000000000000001E-2</v>
      </c>
    </row>
    <row r="517" spans="1:11" x14ac:dyDescent="0.2">
      <c r="A517" t="s">
        <v>441</v>
      </c>
      <c r="B517">
        <v>2011</v>
      </c>
      <c r="C517" t="s">
        <v>449</v>
      </c>
      <c r="D517" t="s">
        <v>450</v>
      </c>
      <c r="E517" s="7"/>
      <c r="F517" s="7"/>
      <c r="G517" s="7"/>
      <c r="H517" s="7">
        <v>2.5000000000000001E-2</v>
      </c>
      <c r="I517" t="s">
        <v>443</v>
      </c>
      <c r="K517" s="6">
        <f t="shared" si="8"/>
        <v>2.5000000000000001E-2</v>
      </c>
    </row>
    <row r="518" spans="1:11" x14ac:dyDescent="0.2">
      <c r="A518" t="s">
        <v>441</v>
      </c>
      <c r="B518">
        <v>2013</v>
      </c>
      <c r="C518" t="s">
        <v>449</v>
      </c>
      <c r="D518" t="s">
        <v>450</v>
      </c>
      <c r="E518" s="7"/>
      <c r="F518" s="7"/>
      <c r="G518" s="7"/>
      <c r="H518" s="7">
        <v>2.5000000000000001E-2</v>
      </c>
      <c r="I518" t="s">
        <v>443</v>
      </c>
      <c r="K518" s="6">
        <f t="shared" si="8"/>
        <v>2.5000000000000001E-2</v>
      </c>
    </row>
    <row r="519" spans="1:11" x14ac:dyDescent="0.2">
      <c r="A519" t="s">
        <v>441</v>
      </c>
      <c r="B519">
        <v>2014</v>
      </c>
      <c r="C519" t="s">
        <v>450</v>
      </c>
      <c r="D519" t="s">
        <v>450</v>
      </c>
      <c r="E519" s="7"/>
      <c r="F519" s="7"/>
      <c r="G519" s="7"/>
      <c r="H519" s="7">
        <v>2.5000000000000001E-2</v>
      </c>
      <c r="I519" t="s">
        <v>443</v>
      </c>
      <c r="K519" s="6">
        <f t="shared" si="8"/>
        <v>2.5000000000000001E-2</v>
      </c>
    </row>
    <row r="520" spans="1:11" x14ac:dyDescent="0.2">
      <c r="A520" t="s">
        <v>441</v>
      </c>
      <c r="B520">
        <v>2014</v>
      </c>
      <c r="C520" t="s">
        <v>449</v>
      </c>
      <c r="D520" t="s">
        <v>450</v>
      </c>
      <c r="E520" s="7"/>
      <c r="F520" s="7"/>
      <c r="G520" s="7"/>
      <c r="H520" s="7">
        <v>2.5000000000000001E-2</v>
      </c>
      <c r="I520" t="s">
        <v>443</v>
      </c>
      <c r="K520" s="6">
        <f t="shared" si="8"/>
        <v>2.5000000000000001E-2</v>
      </c>
    </row>
    <row r="521" spans="1:11" x14ac:dyDescent="0.2">
      <c r="A521" t="s">
        <v>441</v>
      </c>
      <c r="B521">
        <v>2016</v>
      </c>
      <c r="C521" t="s">
        <v>449</v>
      </c>
      <c r="D521" t="s">
        <v>450</v>
      </c>
      <c r="E521" s="7"/>
      <c r="F521" s="7"/>
      <c r="G521" s="7"/>
      <c r="H521" s="7">
        <v>2.5000000000000001E-2</v>
      </c>
      <c r="I521" t="s">
        <v>443</v>
      </c>
      <c r="K521" s="6">
        <f t="shared" si="8"/>
        <v>2.5000000000000001E-2</v>
      </c>
    </row>
    <row r="522" spans="1:11" x14ac:dyDescent="0.2">
      <c r="A522" s="8" t="s">
        <v>441</v>
      </c>
      <c r="B522">
        <v>2017</v>
      </c>
      <c r="C522" s="8" t="s">
        <v>441</v>
      </c>
      <c r="D522" t="s">
        <v>450</v>
      </c>
      <c r="E522" s="7"/>
      <c r="F522" s="7"/>
      <c r="G522" s="7"/>
      <c r="H522" s="7">
        <v>2.5000000000000001E-2</v>
      </c>
      <c r="I522" t="s">
        <v>443</v>
      </c>
      <c r="K522" s="6">
        <f t="shared" si="8"/>
        <v>2.5000000000000001E-2</v>
      </c>
    </row>
    <row r="523" spans="1:11" x14ac:dyDescent="0.2">
      <c r="A523" s="8" t="s">
        <v>441</v>
      </c>
      <c r="B523">
        <v>2018</v>
      </c>
      <c r="C523" s="8" t="s">
        <v>441</v>
      </c>
      <c r="D523" t="s">
        <v>451</v>
      </c>
      <c r="E523" s="7"/>
      <c r="F523" s="7"/>
      <c r="G523" s="7"/>
      <c r="H523" s="7">
        <v>1.2500000000000001E-2</v>
      </c>
      <c r="I523" t="s">
        <v>444</v>
      </c>
      <c r="K523" s="6">
        <f t="shared" si="8"/>
        <v>1.2500000000000001E-2</v>
      </c>
    </row>
    <row r="524" spans="1:11" x14ac:dyDescent="0.2">
      <c r="A524" t="s">
        <v>441</v>
      </c>
      <c r="B524">
        <v>2018</v>
      </c>
      <c r="C524" t="s">
        <v>451</v>
      </c>
      <c r="D524" t="s">
        <v>451</v>
      </c>
      <c r="E524" s="7"/>
      <c r="F524" s="7"/>
      <c r="G524" s="7"/>
      <c r="H524" s="7">
        <v>1.2500000000000001E-2</v>
      </c>
      <c r="I524" t="s">
        <v>444</v>
      </c>
      <c r="K524" s="6">
        <f t="shared" si="8"/>
        <v>1.2500000000000001E-2</v>
      </c>
    </row>
    <row r="525" spans="1:11" x14ac:dyDescent="0.2">
      <c r="A525" t="s">
        <v>441</v>
      </c>
      <c r="B525">
        <v>2019</v>
      </c>
      <c r="C525" t="s">
        <v>451</v>
      </c>
      <c r="D525" t="s">
        <v>451</v>
      </c>
      <c r="E525" s="7"/>
      <c r="F525" s="7"/>
      <c r="G525" s="7"/>
      <c r="H525" s="7">
        <v>1.2500000000000001E-2</v>
      </c>
      <c r="I525" t="s">
        <v>444</v>
      </c>
      <c r="K525" s="6">
        <f t="shared" si="8"/>
        <v>1.2500000000000001E-2</v>
      </c>
    </row>
    <row r="526" spans="1:11" x14ac:dyDescent="0.2">
      <c r="A526" t="s">
        <v>441</v>
      </c>
      <c r="B526">
        <v>2011</v>
      </c>
      <c r="C526" t="s">
        <v>449</v>
      </c>
      <c r="D526" t="s">
        <v>449</v>
      </c>
      <c r="E526" s="7"/>
      <c r="F526" s="7"/>
      <c r="G526" s="7"/>
      <c r="H526" s="7">
        <v>1.2500000000000001E-2</v>
      </c>
      <c r="I526" t="s">
        <v>444</v>
      </c>
      <c r="K526" s="6">
        <f t="shared" si="8"/>
        <v>1.2500000000000001E-2</v>
      </c>
    </row>
    <row r="527" spans="1:11" x14ac:dyDescent="0.2">
      <c r="A527" t="s">
        <v>441</v>
      </c>
      <c r="B527">
        <v>2013</v>
      </c>
      <c r="C527" t="s">
        <v>449</v>
      </c>
      <c r="D527" t="s">
        <v>449</v>
      </c>
      <c r="E527" s="7"/>
      <c r="F527" s="7"/>
      <c r="G527" s="7"/>
      <c r="H527" s="7">
        <v>1.2500000000000001E-2</v>
      </c>
      <c r="I527" t="s">
        <v>444</v>
      </c>
      <c r="K527" s="6">
        <f t="shared" si="8"/>
        <v>1.2500000000000001E-2</v>
      </c>
    </row>
    <row r="528" spans="1:11" x14ac:dyDescent="0.2">
      <c r="A528" t="s">
        <v>441</v>
      </c>
      <c r="B528">
        <v>2014</v>
      </c>
      <c r="C528" t="s">
        <v>449</v>
      </c>
      <c r="D528" t="s">
        <v>449</v>
      </c>
      <c r="E528" s="7"/>
      <c r="F528" s="7"/>
      <c r="G528" s="7"/>
      <c r="H528" s="7">
        <v>1.2500000000000001E-2</v>
      </c>
      <c r="I528" t="s">
        <v>444</v>
      </c>
      <c r="K528" s="6">
        <f t="shared" si="8"/>
        <v>1.2500000000000001E-2</v>
      </c>
    </row>
    <row r="529" spans="1:11" x14ac:dyDescent="0.2">
      <c r="A529" t="s">
        <v>441</v>
      </c>
      <c r="B529">
        <v>2016</v>
      </c>
      <c r="C529" t="s">
        <v>449</v>
      </c>
      <c r="D529" t="s">
        <v>449</v>
      </c>
      <c r="H529" s="5">
        <v>1.2500000000000001E-2</v>
      </c>
      <c r="I529" t="s">
        <v>444</v>
      </c>
      <c r="K529" s="6">
        <f t="shared" si="8"/>
        <v>1.2500000000000001E-2</v>
      </c>
    </row>
    <row r="530" spans="1:11" x14ac:dyDescent="0.2">
      <c r="A530" s="8" t="s">
        <v>441</v>
      </c>
      <c r="B530">
        <v>2017</v>
      </c>
      <c r="C530" s="8" t="s">
        <v>441</v>
      </c>
      <c r="D530" t="s">
        <v>449</v>
      </c>
      <c r="H530" s="5">
        <v>1.2500000000000001E-2</v>
      </c>
      <c r="I530" t="s">
        <v>444</v>
      </c>
      <c r="K530" s="6">
        <f t="shared" si="8"/>
        <v>1.2500000000000001E-2</v>
      </c>
    </row>
    <row r="531" spans="1:11" x14ac:dyDescent="0.2">
      <c r="A531" t="s">
        <v>441</v>
      </c>
      <c r="B531">
        <v>2018</v>
      </c>
      <c r="C531" t="s">
        <v>449</v>
      </c>
      <c r="D531" t="s">
        <v>449</v>
      </c>
      <c r="H531" s="5">
        <v>1.2500000000000001E-2</v>
      </c>
      <c r="I531" t="s">
        <v>444</v>
      </c>
      <c r="K531" s="6">
        <f t="shared" si="8"/>
        <v>1.2500000000000001E-2</v>
      </c>
    </row>
    <row r="532" spans="1:11" x14ac:dyDescent="0.2">
      <c r="A532" t="s">
        <v>452</v>
      </c>
      <c r="B532">
        <v>2010</v>
      </c>
      <c r="C532" t="s">
        <v>453</v>
      </c>
      <c r="D532" t="s">
        <v>454</v>
      </c>
      <c r="E532" s="5">
        <v>1</v>
      </c>
      <c r="I532" t="s">
        <v>455</v>
      </c>
      <c r="J532" t="s">
        <v>456</v>
      </c>
      <c r="K532" s="6">
        <f t="shared" si="8"/>
        <v>1</v>
      </c>
    </row>
    <row r="533" spans="1:11" x14ac:dyDescent="0.2">
      <c r="A533" t="s">
        <v>452</v>
      </c>
      <c r="B533">
        <v>2017</v>
      </c>
      <c r="C533" t="s">
        <v>454</v>
      </c>
      <c r="D533" t="s">
        <v>454</v>
      </c>
      <c r="E533" s="5">
        <v>1</v>
      </c>
      <c r="I533" t="s">
        <v>455</v>
      </c>
      <c r="J533" t="s">
        <v>456</v>
      </c>
      <c r="K533" s="6">
        <f t="shared" si="8"/>
        <v>1</v>
      </c>
    </row>
    <row r="534" spans="1:11" x14ac:dyDescent="0.2">
      <c r="A534" t="s">
        <v>457</v>
      </c>
      <c r="B534">
        <v>2010</v>
      </c>
      <c r="C534" t="s">
        <v>458</v>
      </c>
      <c r="D534" t="s">
        <v>458</v>
      </c>
      <c r="E534" s="5">
        <f>29388800/(29388800+1792426)</f>
        <v>0.94251585874141064</v>
      </c>
      <c r="I534" t="s">
        <v>459</v>
      </c>
      <c r="J534" t="s">
        <v>460</v>
      </c>
      <c r="K534" s="6">
        <f t="shared" si="8"/>
        <v>0.94251585874141064</v>
      </c>
    </row>
    <row r="535" spans="1:11" x14ac:dyDescent="0.2">
      <c r="A535" t="s">
        <v>457</v>
      </c>
      <c r="B535">
        <v>2015</v>
      </c>
      <c r="C535" t="s">
        <v>458</v>
      </c>
      <c r="D535" t="s">
        <v>458</v>
      </c>
      <c r="E535" s="5">
        <f>(6755616+17040126)/25856866</f>
        <v>0.92028716859962845</v>
      </c>
      <c r="I535" t="s">
        <v>461</v>
      </c>
      <c r="J535" t="s">
        <v>462</v>
      </c>
      <c r="K535" s="6">
        <f t="shared" si="8"/>
        <v>0.92028716859962845</v>
      </c>
    </row>
    <row r="536" spans="1:11" x14ac:dyDescent="0.2">
      <c r="A536" t="s">
        <v>457</v>
      </c>
      <c r="B536">
        <v>2016</v>
      </c>
      <c r="C536" t="s">
        <v>458</v>
      </c>
      <c r="D536" t="s">
        <v>458</v>
      </c>
      <c r="E536" s="5">
        <f>16495350/(16495350+109488+648537)</f>
        <v>0.9560651176943642</v>
      </c>
      <c r="I536" t="s">
        <v>461</v>
      </c>
      <c r="J536" t="s">
        <v>462</v>
      </c>
      <c r="K536" s="6">
        <f t="shared" si="8"/>
        <v>0.9560651176943642</v>
      </c>
    </row>
    <row r="537" spans="1:11" x14ac:dyDescent="0.2">
      <c r="A537" s="8" t="s">
        <v>457</v>
      </c>
      <c r="B537">
        <v>2017</v>
      </c>
      <c r="C537" s="8" t="s">
        <v>457</v>
      </c>
      <c r="D537" t="s">
        <v>458</v>
      </c>
      <c r="E537" s="11">
        <f>9201338/(9201338+215567+503564)</f>
        <v>0.92751038282565068</v>
      </c>
      <c r="I537" t="s">
        <v>461</v>
      </c>
      <c r="J537" t="s">
        <v>463</v>
      </c>
      <c r="K537" s="6">
        <f t="shared" si="8"/>
        <v>0.92751038282565068</v>
      </c>
    </row>
    <row r="538" spans="1:11" x14ac:dyDescent="0.2">
      <c r="A538" t="s">
        <v>457</v>
      </c>
      <c r="B538">
        <v>2018</v>
      </c>
      <c r="C538" t="s">
        <v>458</v>
      </c>
      <c r="D538" t="s">
        <v>458</v>
      </c>
      <c r="E538" s="5">
        <f>15032822/(15032822+12798+1193285)</f>
        <v>0.92572879760057714</v>
      </c>
      <c r="I538" t="s">
        <v>464</v>
      </c>
      <c r="J538" t="s">
        <v>465</v>
      </c>
      <c r="K538" s="6">
        <f t="shared" si="8"/>
        <v>0.92572879760057714</v>
      </c>
    </row>
    <row r="539" spans="1:11" x14ac:dyDescent="0.2">
      <c r="A539" t="s">
        <v>466</v>
      </c>
      <c r="B539">
        <v>2013</v>
      </c>
      <c r="C539" t="s">
        <v>467</v>
      </c>
      <c r="D539" t="s">
        <v>468</v>
      </c>
      <c r="E539" s="5">
        <v>1</v>
      </c>
      <c r="I539" t="s">
        <v>469</v>
      </c>
      <c r="J539" t="s">
        <v>470</v>
      </c>
      <c r="K539" s="6">
        <f t="shared" si="8"/>
        <v>1</v>
      </c>
    </row>
    <row r="540" spans="1:11" x14ac:dyDescent="0.2">
      <c r="A540" t="s">
        <v>466</v>
      </c>
      <c r="B540">
        <v>2017</v>
      </c>
      <c r="C540" s="8" t="s">
        <v>467</v>
      </c>
      <c r="D540" t="s">
        <v>468</v>
      </c>
      <c r="E540" s="5">
        <v>1</v>
      </c>
      <c r="I540" t="s">
        <v>469</v>
      </c>
      <c r="J540" t="s">
        <v>470</v>
      </c>
      <c r="K540" s="6">
        <f t="shared" si="8"/>
        <v>1</v>
      </c>
    </row>
    <row r="541" spans="1:11" x14ac:dyDescent="0.2">
      <c r="A541" t="s">
        <v>466</v>
      </c>
      <c r="B541">
        <v>2018</v>
      </c>
      <c r="C541" s="8" t="s">
        <v>467</v>
      </c>
      <c r="D541" t="s">
        <v>468</v>
      </c>
      <c r="E541" s="5">
        <v>1</v>
      </c>
      <c r="I541" t="s">
        <v>469</v>
      </c>
      <c r="J541" t="s">
        <v>471</v>
      </c>
      <c r="K541" s="6">
        <f t="shared" si="8"/>
        <v>1</v>
      </c>
    </row>
    <row r="542" spans="1:11" x14ac:dyDescent="0.2">
      <c r="A542" t="s">
        <v>466</v>
      </c>
      <c r="B542">
        <v>2010</v>
      </c>
      <c r="C542" t="s">
        <v>467</v>
      </c>
      <c r="D542" t="s">
        <v>472</v>
      </c>
      <c r="E542" s="5">
        <v>1</v>
      </c>
      <c r="I542" t="s">
        <v>469</v>
      </c>
      <c r="J542" t="s">
        <v>470</v>
      </c>
      <c r="K542" s="6">
        <f t="shared" si="8"/>
        <v>1</v>
      </c>
    </row>
    <row r="543" spans="1:11" x14ac:dyDescent="0.2">
      <c r="A543" t="s">
        <v>466</v>
      </c>
      <c r="B543">
        <v>2011</v>
      </c>
      <c r="C543" t="s">
        <v>467</v>
      </c>
      <c r="D543" t="s">
        <v>472</v>
      </c>
      <c r="E543" s="5">
        <v>1</v>
      </c>
      <c r="I543" t="s">
        <v>469</v>
      </c>
      <c r="J543" t="s">
        <v>470</v>
      </c>
      <c r="K543" s="6">
        <f t="shared" si="8"/>
        <v>1</v>
      </c>
    </row>
    <row r="544" spans="1:11" x14ac:dyDescent="0.2">
      <c r="A544" t="s">
        <v>466</v>
      </c>
      <c r="B544">
        <v>2012</v>
      </c>
      <c r="C544" t="s">
        <v>467</v>
      </c>
      <c r="D544" t="s">
        <v>472</v>
      </c>
      <c r="E544" s="5">
        <v>1</v>
      </c>
      <c r="I544" t="s">
        <v>469</v>
      </c>
      <c r="J544" t="s">
        <v>470</v>
      </c>
      <c r="K544" s="6">
        <f t="shared" si="8"/>
        <v>1</v>
      </c>
    </row>
    <row r="545" spans="1:11" x14ac:dyDescent="0.2">
      <c r="A545" t="s">
        <v>466</v>
      </c>
      <c r="B545">
        <v>2013</v>
      </c>
      <c r="C545" t="s">
        <v>467</v>
      </c>
      <c r="D545" t="s">
        <v>472</v>
      </c>
      <c r="E545" s="5">
        <v>1</v>
      </c>
      <c r="I545" t="s">
        <v>469</v>
      </c>
      <c r="J545" t="s">
        <v>470</v>
      </c>
      <c r="K545" s="6">
        <f t="shared" si="8"/>
        <v>1</v>
      </c>
    </row>
    <row r="546" spans="1:11" x14ac:dyDescent="0.2">
      <c r="A546" s="8" t="s">
        <v>466</v>
      </c>
      <c r="B546">
        <v>2016</v>
      </c>
      <c r="C546" s="8" t="s">
        <v>467</v>
      </c>
      <c r="D546" t="s">
        <v>472</v>
      </c>
      <c r="E546" s="5">
        <v>1</v>
      </c>
      <c r="I546" t="s">
        <v>469</v>
      </c>
      <c r="J546" t="s">
        <v>470</v>
      </c>
      <c r="K546" s="6">
        <f t="shared" si="8"/>
        <v>1</v>
      </c>
    </row>
    <row r="547" spans="1:11" x14ac:dyDescent="0.2">
      <c r="A547" t="s">
        <v>466</v>
      </c>
      <c r="B547">
        <v>2010</v>
      </c>
      <c r="C547" t="s">
        <v>467</v>
      </c>
      <c r="D547" t="s">
        <v>467</v>
      </c>
      <c r="E547" s="5">
        <v>1</v>
      </c>
      <c r="I547" t="s">
        <v>469</v>
      </c>
      <c r="J547" t="s">
        <v>470</v>
      </c>
      <c r="K547" s="6">
        <f t="shared" si="8"/>
        <v>1</v>
      </c>
    </row>
    <row r="548" spans="1:11" x14ac:dyDescent="0.2">
      <c r="A548" t="s">
        <v>466</v>
      </c>
      <c r="B548">
        <v>2011</v>
      </c>
      <c r="C548" t="s">
        <v>467</v>
      </c>
      <c r="D548" t="s">
        <v>467</v>
      </c>
      <c r="E548" s="5">
        <v>1</v>
      </c>
      <c r="I548" t="s">
        <v>469</v>
      </c>
      <c r="J548" t="s">
        <v>470</v>
      </c>
      <c r="K548" s="6">
        <f t="shared" si="8"/>
        <v>1</v>
      </c>
    </row>
    <row r="549" spans="1:11" x14ac:dyDescent="0.2">
      <c r="A549" t="s">
        <v>466</v>
      </c>
      <c r="B549">
        <v>2012</v>
      </c>
      <c r="C549" t="s">
        <v>467</v>
      </c>
      <c r="D549" t="s">
        <v>467</v>
      </c>
      <c r="E549" s="5">
        <v>1</v>
      </c>
      <c r="I549" t="s">
        <v>469</v>
      </c>
      <c r="J549" t="s">
        <v>470</v>
      </c>
      <c r="K549" s="6">
        <f t="shared" si="8"/>
        <v>1</v>
      </c>
    </row>
    <row r="550" spans="1:11" x14ac:dyDescent="0.2">
      <c r="A550" s="8" t="s">
        <v>466</v>
      </c>
      <c r="B550">
        <v>2016</v>
      </c>
      <c r="C550" s="8" t="s">
        <v>467</v>
      </c>
      <c r="D550" t="s">
        <v>467</v>
      </c>
      <c r="E550" s="5">
        <v>1</v>
      </c>
      <c r="I550" t="s">
        <v>469</v>
      </c>
      <c r="J550" t="s">
        <v>470</v>
      </c>
      <c r="K550" s="6">
        <f t="shared" si="8"/>
        <v>1</v>
      </c>
    </row>
    <row r="551" spans="1:11" x14ac:dyDescent="0.2">
      <c r="A551" t="s">
        <v>466</v>
      </c>
      <c r="B551">
        <v>2017</v>
      </c>
      <c r="C551" s="8" t="s">
        <v>467</v>
      </c>
      <c r="D551" t="s">
        <v>467</v>
      </c>
      <c r="E551" s="5">
        <v>1</v>
      </c>
      <c r="I551" t="s">
        <v>469</v>
      </c>
      <c r="J551" t="s">
        <v>470</v>
      </c>
      <c r="K551" s="6">
        <f t="shared" si="8"/>
        <v>1</v>
      </c>
    </row>
    <row r="552" spans="1:11" x14ac:dyDescent="0.2">
      <c r="A552" t="s">
        <v>466</v>
      </c>
      <c r="B552">
        <v>2010</v>
      </c>
      <c r="C552" t="s">
        <v>473</v>
      </c>
      <c r="D552" t="s">
        <v>474</v>
      </c>
      <c r="E552" s="5">
        <v>1</v>
      </c>
      <c r="I552" t="s">
        <v>469</v>
      </c>
      <c r="J552" t="s">
        <v>470</v>
      </c>
      <c r="K552" s="6">
        <f t="shared" si="8"/>
        <v>1</v>
      </c>
    </row>
    <row r="553" spans="1:11" x14ac:dyDescent="0.2">
      <c r="A553" t="s">
        <v>466</v>
      </c>
      <c r="B553">
        <v>2016</v>
      </c>
      <c r="C553" t="s">
        <v>473</v>
      </c>
      <c r="D553" t="s">
        <v>474</v>
      </c>
      <c r="E553" s="5">
        <v>1</v>
      </c>
      <c r="I553" t="s">
        <v>475</v>
      </c>
      <c r="J553" t="s">
        <v>470</v>
      </c>
      <c r="K553" s="6">
        <f t="shared" si="8"/>
        <v>1</v>
      </c>
    </row>
    <row r="554" spans="1:11" x14ac:dyDescent="0.2">
      <c r="A554" s="8" t="s">
        <v>466</v>
      </c>
      <c r="B554">
        <v>2018</v>
      </c>
      <c r="C554" s="8" t="s">
        <v>467</v>
      </c>
      <c r="D554" t="s">
        <v>473</v>
      </c>
      <c r="E554" s="5">
        <v>1</v>
      </c>
      <c r="I554" t="s">
        <v>469</v>
      </c>
      <c r="J554" t="s">
        <v>471</v>
      </c>
      <c r="K554" s="6">
        <f t="shared" si="8"/>
        <v>1</v>
      </c>
    </row>
    <row r="555" spans="1:11" x14ac:dyDescent="0.2">
      <c r="A555" t="s">
        <v>466</v>
      </c>
      <c r="B555">
        <v>2018</v>
      </c>
      <c r="C555" s="8" t="s">
        <v>467</v>
      </c>
      <c r="D555" t="s">
        <v>473</v>
      </c>
      <c r="E555" s="5">
        <v>1</v>
      </c>
      <c r="I555" t="s">
        <v>469</v>
      </c>
      <c r="J555" t="s">
        <v>471</v>
      </c>
      <c r="K555" s="6">
        <f t="shared" si="8"/>
        <v>1</v>
      </c>
    </row>
    <row r="556" spans="1:11" x14ac:dyDescent="0.2">
      <c r="A556" t="s">
        <v>466</v>
      </c>
      <c r="B556">
        <v>2010</v>
      </c>
      <c r="C556" t="s">
        <v>467</v>
      </c>
      <c r="D556" t="s">
        <v>476</v>
      </c>
      <c r="E556" s="5">
        <v>1</v>
      </c>
      <c r="I556" t="s">
        <v>469</v>
      </c>
      <c r="J556" t="s">
        <v>470</v>
      </c>
      <c r="K556" s="6">
        <f t="shared" si="8"/>
        <v>1</v>
      </c>
    </row>
    <row r="557" spans="1:11" x14ac:dyDescent="0.2">
      <c r="A557" t="s">
        <v>466</v>
      </c>
      <c r="B557">
        <v>2012</v>
      </c>
      <c r="C557" t="s">
        <v>467</v>
      </c>
      <c r="D557" t="s">
        <v>476</v>
      </c>
      <c r="E557" s="5">
        <v>1</v>
      </c>
      <c r="I557" t="s">
        <v>469</v>
      </c>
      <c r="J557" t="s">
        <v>470</v>
      </c>
      <c r="K557" s="6">
        <f t="shared" si="8"/>
        <v>1</v>
      </c>
    </row>
    <row r="558" spans="1:11" x14ac:dyDescent="0.2">
      <c r="A558" t="s">
        <v>466</v>
      </c>
      <c r="B558">
        <v>2013</v>
      </c>
      <c r="C558" t="s">
        <v>467</v>
      </c>
      <c r="D558" t="s">
        <v>476</v>
      </c>
      <c r="E558" s="5">
        <v>1</v>
      </c>
      <c r="I558" t="s">
        <v>469</v>
      </c>
      <c r="J558" t="s">
        <v>470</v>
      </c>
      <c r="K558" s="6">
        <f t="shared" si="8"/>
        <v>1</v>
      </c>
    </row>
    <row r="559" spans="1:11" x14ac:dyDescent="0.2">
      <c r="A559" t="s">
        <v>466</v>
      </c>
      <c r="B559">
        <v>2015</v>
      </c>
      <c r="C559" t="s">
        <v>467</v>
      </c>
      <c r="D559" t="s">
        <v>477</v>
      </c>
      <c r="E559" s="5">
        <v>1</v>
      </c>
      <c r="I559" t="s">
        <v>469</v>
      </c>
      <c r="J559" t="s">
        <v>470</v>
      </c>
      <c r="K559" s="6">
        <f t="shared" si="8"/>
        <v>1</v>
      </c>
    </row>
    <row r="560" spans="1:11" x14ac:dyDescent="0.2">
      <c r="A560" t="s">
        <v>466</v>
      </c>
      <c r="B560">
        <v>2010</v>
      </c>
      <c r="C560" t="s">
        <v>467</v>
      </c>
      <c r="D560" t="s">
        <v>478</v>
      </c>
      <c r="E560" s="5">
        <v>1</v>
      </c>
      <c r="I560" t="s">
        <v>469</v>
      </c>
      <c r="J560" t="s">
        <v>470</v>
      </c>
      <c r="K560" s="6">
        <f t="shared" si="8"/>
        <v>1</v>
      </c>
    </row>
    <row r="561" spans="1:11" x14ac:dyDescent="0.2">
      <c r="A561" t="s">
        <v>466</v>
      </c>
      <c r="B561">
        <v>2011</v>
      </c>
      <c r="C561" t="s">
        <v>467</v>
      </c>
      <c r="D561" t="s">
        <v>478</v>
      </c>
      <c r="E561" s="5">
        <v>1</v>
      </c>
      <c r="I561" t="s">
        <v>469</v>
      </c>
      <c r="J561" t="s">
        <v>470</v>
      </c>
      <c r="K561" s="6">
        <f t="shared" si="8"/>
        <v>1</v>
      </c>
    </row>
    <row r="562" spans="1:11" x14ac:dyDescent="0.2">
      <c r="A562" t="s">
        <v>466</v>
      </c>
      <c r="B562">
        <v>2012</v>
      </c>
      <c r="C562" t="s">
        <v>467</v>
      </c>
      <c r="D562" t="s">
        <v>478</v>
      </c>
      <c r="E562" s="5">
        <v>1</v>
      </c>
      <c r="I562" t="s">
        <v>469</v>
      </c>
      <c r="J562" t="s">
        <v>470</v>
      </c>
      <c r="K562" s="6">
        <f t="shared" si="8"/>
        <v>1</v>
      </c>
    </row>
    <row r="563" spans="1:11" x14ac:dyDescent="0.2">
      <c r="A563" t="s">
        <v>466</v>
      </c>
      <c r="B563">
        <v>2013</v>
      </c>
      <c r="C563" t="s">
        <v>467</v>
      </c>
      <c r="D563" t="s">
        <v>478</v>
      </c>
      <c r="E563" s="5">
        <v>1</v>
      </c>
      <c r="I563" t="s">
        <v>469</v>
      </c>
      <c r="J563" t="s">
        <v>470</v>
      </c>
      <c r="K563" s="6">
        <f t="shared" si="8"/>
        <v>1</v>
      </c>
    </row>
    <row r="564" spans="1:11" x14ac:dyDescent="0.2">
      <c r="A564" s="8" t="s">
        <v>466</v>
      </c>
      <c r="B564">
        <v>2016</v>
      </c>
      <c r="C564" s="8" t="s">
        <v>467</v>
      </c>
      <c r="D564" t="s">
        <v>478</v>
      </c>
      <c r="E564" s="5">
        <v>1</v>
      </c>
      <c r="I564" t="s">
        <v>469</v>
      </c>
      <c r="J564" t="s">
        <v>471</v>
      </c>
      <c r="K564" s="6">
        <f t="shared" si="8"/>
        <v>1</v>
      </c>
    </row>
    <row r="565" spans="1:11" x14ac:dyDescent="0.2">
      <c r="A565" t="s">
        <v>466</v>
      </c>
      <c r="B565">
        <v>2011</v>
      </c>
      <c r="C565" t="s">
        <v>467</v>
      </c>
      <c r="D565" t="s">
        <v>479</v>
      </c>
      <c r="E565" s="5">
        <v>1</v>
      </c>
      <c r="I565" t="s">
        <v>469</v>
      </c>
      <c r="J565" t="s">
        <v>470</v>
      </c>
      <c r="K565" s="6">
        <f t="shared" si="8"/>
        <v>1</v>
      </c>
    </row>
    <row r="566" spans="1:11" x14ac:dyDescent="0.2">
      <c r="A566" t="s">
        <v>466</v>
      </c>
      <c r="B566">
        <v>2013</v>
      </c>
      <c r="C566" t="s">
        <v>467</v>
      </c>
      <c r="D566" t="s">
        <v>479</v>
      </c>
      <c r="E566" s="5">
        <v>1</v>
      </c>
      <c r="I566" t="s">
        <v>469</v>
      </c>
      <c r="J566" t="s">
        <v>470</v>
      </c>
      <c r="K566" s="6">
        <f t="shared" si="8"/>
        <v>1</v>
      </c>
    </row>
    <row r="567" spans="1:11" x14ac:dyDescent="0.2">
      <c r="A567" t="s">
        <v>480</v>
      </c>
      <c r="B567">
        <v>2017</v>
      </c>
      <c r="C567" t="s">
        <v>481</v>
      </c>
      <c r="D567" t="s">
        <v>481</v>
      </c>
      <c r="E567" s="5">
        <f>62046/(62046+266802+4155+18424+1073+54246+5914)</f>
        <v>0.15035622546406244</v>
      </c>
      <c r="I567" t="s">
        <v>482</v>
      </c>
      <c r="J567" t="s">
        <v>483</v>
      </c>
      <c r="K567" s="6">
        <f t="shared" si="8"/>
        <v>0.15035622546406244</v>
      </c>
    </row>
    <row r="568" spans="1:11" x14ac:dyDescent="0.2">
      <c r="A568" t="s">
        <v>480</v>
      </c>
      <c r="B568">
        <v>2018</v>
      </c>
      <c r="C568" t="s">
        <v>481</v>
      </c>
      <c r="D568" t="s">
        <v>481</v>
      </c>
      <c r="E568" s="7">
        <f>76882/(76882+727540+17281+18668+316+40132+3901)</f>
        <v>8.6899810109413153E-2</v>
      </c>
      <c r="F568" s="7"/>
      <c r="G568" s="7"/>
      <c r="H568" s="7"/>
      <c r="I568" t="s">
        <v>482</v>
      </c>
      <c r="J568" t="s">
        <v>484</v>
      </c>
      <c r="K568" s="6">
        <f t="shared" si="8"/>
        <v>8.6899810109413153E-2</v>
      </c>
    </row>
    <row r="569" spans="1:11" x14ac:dyDescent="0.2">
      <c r="A569" t="s">
        <v>480</v>
      </c>
      <c r="B569">
        <v>2018</v>
      </c>
      <c r="C569" t="s">
        <v>481</v>
      </c>
      <c r="D569" t="s">
        <v>481</v>
      </c>
      <c r="E569" s="7">
        <f>76882/(76882+727540+17281+18668+316+40132+3901)</f>
        <v>8.6899810109413153E-2</v>
      </c>
      <c r="F569" s="7"/>
      <c r="G569" s="7"/>
      <c r="H569" s="7"/>
      <c r="I569" t="s">
        <v>482</v>
      </c>
      <c r="J569" t="s">
        <v>484</v>
      </c>
      <c r="K569" s="6">
        <f t="shared" si="8"/>
        <v>8.6899810109413153E-2</v>
      </c>
    </row>
    <row r="570" spans="1:11" x14ac:dyDescent="0.2">
      <c r="A570" t="s">
        <v>480</v>
      </c>
      <c r="B570">
        <v>2011</v>
      </c>
      <c r="C570" t="s">
        <v>485</v>
      </c>
      <c r="D570" t="s">
        <v>486</v>
      </c>
      <c r="E570" s="7">
        <f>27489/(27489+55646+31115+1998+143726+13916+1568)</f>
        <v>9.9793797965570072E-2</v>
      </c>
      <c r="F570" s="7"/>
      <c r="G570" s="7"/>
      <c r="H570" s="7"/>
      <c r="I570" t="s">
        <v>482</v>
      </c>
      <c r="J570" t="s">
        <v>487</v>
      </c>
      <c r="K570" s="6">
        <f t="shared" si="8"/>
        <v>9.9793797965570072E-2</v>
      </c>
    </row>
    <row r="571" spans="1:11" x14ac:dyDescent="0.2">
      <c r="A571" t="s">
        <v>480</v>
      </c>
      <c r="B571">
        <v>2015</v>
      </c>
      <c r="C571" t="s">
        <v>486</v>
      </c>
      <c r="D571" t="s">
        <v>486</v>
      </c>
      <c r="E571" s="7">
        <f>58102/(58102+865552+2085+7836+1073+24261+100049+1139)</f>
        <v>5.4808192080536028E-2</v>
      </c>
      <c r="F571" s="7"/>
      <c r="G571" s="7"/>
      <c r="H571" s="7"/>
      <c r="I571" t="s">
        <v>488</v>
      </c>
      <c r="J571" t="s">
        <v>489</v>
      </c>
      <c r="K571" s="6">
        <f t="shared" si="8"/>
        <v>5.4808192080536028E-2</v>
      </c>
    </row>
    <row r="572" spans="1:11" x14ac:dyDescent="0.2">
      <c r="A572" t="s">
        <v>480</v>
      </c>
      <c r="B572">
        <v>2016</v>
      </c>
      <c r="C572" t="s">
        <v>486</v>
      </c>
      <c r="D572" t="s">
        <v>486</v>
      </c>
      <c r="E572" s="7">
        <f>111894/(111894+396787+1578+15196+679+128824+16830)</f>
        <v>0.16656147475096311</v>
      </c>
      <c r="F572" s="7"/>
      <c r="G572" s="7"/>
      <c r="H572" s="7"/>
      <c r="I572" t="s">
        <v>482</v>
      </c>
      <c r="J572" t="s">
        <v>490</v>
      </c>
      <c r="K572" s="6">
        <f t="shared" si="8"/>
        <v>0.16656147475096311</v>
      </c>
    </row>
    <row r="573" spans="1:11" x14ac:dyDescent="0.2">
      <c r="A573" t="s">
        <v>480</v>
      </c>
      <c r="B573">
        <v>2017</v>
      </c>
      <c r="C573" t="s">
        <v>486</v>
      </c>
      <c r="D573" t="s">
        <v>486</v>
      </c>
      <c r="E573" s="7">
        <f>62046/(62046+266802+4155+18424+1073+54246+5914)</f>
        <v>0.15035622546406244</v>
      </c>
      <c r="F573" s="7"/>
      <c r="G573" s="7"/>
      <c r="H573" s="7"/>
      <c r="I573" t="s">
        <v>482</v>
      </c>
      <c r="J573" t="s">
        <v>483</v>
      </c>
      <c r="K573" s="6">
        <f t="shared" si="8"/>
        <v>0.15035622546406244</v>
      </c>
    </row>
    <row r="574" spans="1:11" x14ac:dyDescent="0.2">
      <c r="A574" s="8" t="s">
        <v>480</v>
      </c>
      <c r="B574">
        <v>2018</v>
      </c>
      <c r="C574" s="8" t="s">
        <v>480</v>
      </c>
      <c r="D574" t="s">
        <v>486</v>
      </c>
      <c r="E574" s="7">
        <f>76882/(76882+727540+17281+18668+316+40132+3901)</f>
        <v>8.6899810109413153E-2</v>
      </c>
      <c r="F574" s="7"/>
      <c r="G574" s="7"/>
      <c r="H574" s="7"/>
      <c r="I574" t="s">
        <v>482</v>
      </c>
      <c r="J574" t="s">
        <v>484</v>
      </c>
      <c r="K574" s="6">
        <f t="shared" si="8"/>
        <v>8.6899810109413153E-2</v>
      </c>
    </row>
    <row r="575" spans="1:11" x14ac:dyDescent="0.2">
      <c r="A575" t="s">
        <v>480</v>
      </c>
      <c r="B575">
        <v>2018</v>
      </c>
      <c r="C575" s="8" t="s">
        <v>480</v>
      </c>
      <c r="D575" t="s">
        <v>486</v>
      </c>
      <c r="E575" s="7">
        <f>76882/(76882+727540+17281+18668+316+40132+3901)</f>
        <v>8.6899810109413153E-2</v>
      </c>
      <c r="F575" s="7"/>
      <c r="G575" s="7"/>
      <c r="H575" s="7"/>
      <c r="I575" t="s">
        <v>482</v>
      </c>
      <c r="J575" t="s">
        <v>484</v>
      </c>
      <c r="K575" s="6">
        <f t="shared" si="8"/>
        <v>8.6899810109413153E-2</v>
      </c>
    </row>
    <row r="576" spans="1:11" x14ac:dyDescent="0.2">
      <c r="A576" t="s">
        <v>480</v>
      </c>
      <c r="B576">
        <v>2018</v>
      </c>
      <c r="C576" t="s">
        <v>491</v>
      </c>
      <c r="D576" t="s">
        <v>491</v>
      </c>
      <c r="E576" s="7">
        <f>76882/(76882+727540+17281+18668+316+40132+3901)</f>
        <v>8.6899810109413153E-2</v>
      </c>
      <c r="F576" s="7"/>
      <c r="G576" s="7"/>
      <c r="H576" s="7"/>
      <c r="I576" t="s">
        <v>482</v>
      </c>
      <c r="J576" t="s">
        <v>484</v>
      </c>
      <c r="K576" s="6">
        <f t="shared" si="8"/>
        <v>8.6899810109413153E-2</v>
      </c>
    </row>
    <row r="577" spans="1:11" x14ac:dyDescent="0.2">
      <c r="A577" s="9" t="s">
        <v>480</v>
      </c>
      <c r="B577" s="9">
        <v>2019</v>
      </c>
      <c r="C577" s="9" t="s">
        <v>486</v>
      </c>
      <c r="D577" s="9" t="s">
        <v>486</v>
      </c>
      <c r="E577" s="10">
        <f>76882/(76882+727540+17281+18668+316+40132+3901)</f>
        <v>8.6899810109413153E-2</v>
      </c>
      <c r="F577" s="10"/>
      <c r="G577" s="10"/>
      <c r="H577" s="10"/>
      <c r="I577" s="9" t="s">
        <v>482</v>
      </c>
      <c r="J577" s="9" t="s">
        <v>484</v>
      </c>
      <c r="K577" s="17">
        <f t="shared" si="8"/>
        <v>8.6899810109413153E-2</v>
      </c>
    </row>
    <row r="578" spans="1:11" x14ac:dyDescent="0.2">
      <c r="A578" t="s">
        <v>480</v>
      </c>
      <c r="B578">
        <v>2015</v>
      </c>
      <c r="C578" t="s">
        <v>492</v>
      </c>
      <c r="D578" t="s">
        <v>492</v>
      </c>
      <c r="E578" s="5">
        <v>1</v>
      </c>
      <c r="I578" t="s">
        <v>493</v>
      </c>
      <c r="J578" t="s">
        <v>494</v>
      </c>
      <c r="K578" s="6">
        <f t="shared" ref="K578:K641" si="9">SUM(E578:H578)</f>
        <v>1</v>
      </c>
    </row>
    <row r="579" spans="1:11" x14ac:dyDescent="0.2">
      <c r="A579" t="s">
        <v>480</v>
      </c>
      <c r="B579">
        <v>2016</v>
      </c>
      <c r="C579" t="s">
        <v>492</v>
      </c>
      <c r="D579" t="s">
        <v>492</v>
      </c>
      <c r="E579" s="5">
        <v>1</v>
      </c>
      <c r="I579" t="s">
        <v>493</v>
      </c>
      <c r="J579" t="s">
        <v>494</v>
      </c>
      <c r="K579" s="6">
        <f t="shared" si="9"/>
        <v>1</v>
      </c>
    </row>
    <row r="580" spans="1:11" x14ac:dyDescent="0.2">
      <c r="A580" t="s">
        <v>480</v>
      </c>
      <c r="B580">
        <v>2017</v>
      </c>
      <c r="C580" t="s">
        <v>492</v>
      </c>
      <c r="D580" t="s">
        <v>492</v>
      </c>
      <c r="E580" s="5">
        <v>1</v>
      </c>
      <c r="I580" t="s">
        <v>493</v>
      </c>
      <c r="J580" t="s">
        <v>494</v>
      </c>
      <c r="K580" s="6">
        <f t="shared" si="9"/>
        <v>1</v>
      </c>
    </row>
    <row r="581" spans="1:11" x14ac:dyDescent="0.2">
      <c r="A581" s="8" t="s">
        <v>480</v>
      </c>
      <c r="B581">
        <v>2018</v>
      </c>
      <c r="C581" s="8" t="s">
        <v>480</v>
      </c>
      <c r="D581" t="s">
        <v>492</v>
      </c>
      <c r="E581" s="5">
        <v>1</v>
      </c>
      <c r="I581" t="s">
        <v>493</v>
      </c>
      <c r="J581" t="s">
        <v>495</v>
      </c>
      <c r="K581" s="6">
        <f t="shared" si="9"/>
        <v>1</v>
      </c>
    </row>
    <row r="582" spans="1:11" x14ac:dyDescent="0.2">
      <c r="A582" t="s">
        <v>480</v>
      </c>
      <c r="B582">
        <v>2018</v>
      </c>
      <c r="C582" s="8" t="s">
        <v>480</v>
      </c>
      <c r="D582" t="s">
        <v>492</v>
      </c>
      <c r="E582" s="5">
        <v>1</v>
      </c>
      <c r="I582" t="s">
        <v>493</v>
      </c>
      <c r="J582" t="s">
        <v>495</v>
      </c>
      <c r="K582" s="6">
        <f t="shared" si="9"/>
        <v>1</v>
      </c>
    </row>
    <row r="583" spans="1:11" x14ac:dyDescent="0.2">
      <c r="A583" t="s">
        <v>480</v>
      </c>
      <c r="B583">
        <v>2019</v>
      </c>
      <c r="C583" t="s">
        <v>492</v>
      </c>
      <c r="D583" t="s">
        <v>492</v>
      </c>
      <c r="E583" s="5">
        <v>1</v>
      </c>
      <c r="I583" t="s">
        <v>493</v>
      </c>
      <c r="J583" t="s">
        <v>495</v>
      </c>
      <c r="K583" s="6">
        <f t="shared" si="9"/>
        <v>1</v>
      </c>
    </row>
    <row r="584" spans="1:11" x14ac:dyDescent="0.2">
      <c r="A584" t="s">
        <v>496</v>
      </c>
      <c r="B584">
        <v>2010</v>
      </c>
      <c r="C584" t="s">
        <v>497</v>
      </c>
      <c r="D584" t="s">
        <v>498</v>
      </c>
      <c r="E584" s="5">
        <v>1</v>
      </c>
      <c r="I584" t="s">
        <v>499</v>
      </c>
      <c r="J584" t="s">
        <v>500</v>
      </c>
      <c r="K584" s="6">
        <f t="shared" si="9"/>
        <v>1</v>
      </c>
    </row>
    <row r="585" spans="1:11" x14ac:dyDescent="0.2">
      <c r="A585" t="s">
        <v>496</v>
      </c>
      <c r="B585">
        <v>2013</v>
      </c>
      <c r="C585" t="s">
        <v>501</v>
      </c>
      <c r="D585" t="s">
        <v>502</v>
      </c>
      <c r="E585" s="5">
        <v>1</v>
      </c>
      <c r="I585" t="s">
        <v>503</v>
      </c>
      <c r="J585" t="s">
        <v>504</v>
      </c>
      <c r="K585" s="6">
        <f t="shared" si="9"/>
        <v>1</v>
      </c>
    </row>
    <row r="586" spans="1:11" x14ac:dyDescent="0.2">
      <c r="A586" t="s">
        <v>496</v>
      </c>
      <c r="B586">
        <v>2012</v>
      </c>
      <c r="C586" t="s">
        <v>501</v>
      </c>
      <c r="D586" t="s">
        <v>501</v>
      </c>
      <c r="E586" s="5">
        <v>1</v>
      </c>
      <c r="I586" t="s">
        <v>503</v>
      </c>
      <c r="J586" t="s">
        <v>504</v>
      </c>
      <c r="K586" s="6">
        <f t="shared" si="9"/>
        <v>1</v>
      </c>
    </row>
    <row r="587" spans="1:11" x14ac:dyDescent="0.2">
      <c r="A587" t="s">
        <v>496</v>
      </c>
      <c r="B587">
        <v>2012</v>
      </c>
      <c r="C587" t="s">
        <v>501</v>
      </c>
      <c r="D587" t="s">
        <v>501</v>
      </c>
      <c r="E587" s="5">
        <v>1</v>
      </c>
      <c r="I587" t="s">
        <v>503</v>
      </c>
      <c r="J587" t="s">
        <v>504</v>
      </c>
      <c r="K587" s="6">
        <f t="shared" si="9"/>
        <v>1</v>
      </c>
    </row>
    <row r="588" spans="1:11" x14ac:dyDescent="0.2">
      <c r="A588" t="s">
        <v>496</v>
      </c>
      <c r="B588">
        <v>2014</v>
      </c>
      <c r="C588" t="s">
        <v>501</v>
      </c>
      <c r="D588" t="s">
        <v>501</v>
      </c>
      <c r="E588" s="5">
        <v>1</v>
      </c>
      <c r="I588" t="s">
        <v>503</v>
      </c>
      <c r="J588" t="s">
        <v>504</v>
      </c>
      <c r="K588" s="6">
        <f t="shared" si="9"/>
        <v>1</v>
      </c>
    </row>
    <row r="589" spans="1:11" x14ac:dyDescent="0.2">
      <c r="A589" t="s">
        <v>496</v>
      </c>
      <c r="B589">
        <v>2015</v>
      </c>
      <c r="C589" t="s">
        <v>501</v>
      </c>
      <c r="D589" t="s">
        <v>501</v>
      </c>
      <c r="E589" s="5">
        <v>1</v>
      </c>
      <c r="I589" t="s">
        <v>503</v>
      </c>
      <c r="J589" t="s">
        <v>504</v>
      </c>
      <c r="K589" s="6">
        <f t="shared" si="9"/>
        <v>1</v>
      </c>
    </row>
    <row r="590" spans="1:11" x14ac:dyDescent="0.2">
      <c r="A590" t="s">
        <v>496</v>
      </c>
      <c r="B590">
        <v>2016</v>
      </c>
      <c r="C590" t="s">
        <v>501</v>
      </c>
      <c r="D590" t="s">
        <v>501</v>
      </c>
      <c r="E590" s="5">
        <v>1</v>
      </c>
      <c r="I590" t="s">
        <v>503</v>
      </c>
      <c r="J590" t="s">
        <v>504</v>
      </c>
      <c r="K590" s="6">
        <f t="shared" si="9"/>
        <v>1</v>
      </c>
    </row>
    <row r="591" spans="1:11" x14ac:dyDescent="0.2">
      <c r="A591" t="s">
        <v>496</v>
      </c>
      <c r="B591">
        <v>2017</v>
      </c>
      <c r="C591" t="s">
        <v>501</v>
      </c>
      <c r="D591" t="s">
        <v>501</v>
      </c>
      <c r="E591" s="5">
        <v>1</v>
      </c>
      <c r="I591" t="s">
        <v>503</v>
      </c>
      <c r="J591" t="s">
        <v>504</v>
      </c>
      <c r="K591" s="6">
        <f t="shared" si="9"/>
        <v>1</v>
      </c>
    </row>
    <row r="592" spans="1:11" x14ac:dyDescent="0.2">
      <c r="A592" t="s">
        <v>496</v>
      </c>
      <c r="B592">
        <v>2018</v>
      </c>
      <c r="C592" t="s">
        <v>501</v>
      </c>
      <c r="D592" t="s">
        <v>501</v>
      </c>
      <c r="E592" s="5">
        <v>1</v>
      </c>
      <c r="I592" t="s">
        <v>503</v>
      </c>
      <c r="J592" t="s">
        <v>504</v>
      </c>
      <c r="K592" s="6">
        <f t="shared" si="9"/>
        <v>1</v>
      </c>
    </row>
    <row r="593" spans="1:11" x14ac:dyDescent="0.2">
      <c r="A593" t="s">
        <v>496</v>
      </c>
      <c r="B593">
        <v>2018</v>
      </c>
      <c r="C593" s="8" t="s">
        <v>496</v>
      </c>
      <c r="D593" t="s">
        <v>501</v>
      </c>
      <c r="E593" s="5">
        <v>1</v>
      </c>
      <c r="I593" t="s">
        <v>503</v>
      </c>
      <c r="J593" t="s">
        <v>505</v>
      </c>
      <c r="K593" s="6">
        <f t="shared" si="9"/>
        <v>1</v>
      </c>
    </row>
    <row r="594" spans="1:11" x14ac:dyDescent="0.2">
      <c r="A594" t="s">
        <v>496</v>
      </c>
      <c r="B594">
        <v>2018</v>
      </c>
      <c r="C594" t="s">
        <v>506</v>
      </c>
      <c r="D594" t="s">
        <v>506</v>
      </c>
      <c r="E594" s="5">
        <v>1</v>
      </c>
      <c r="I594" t="s">
        <v>503</v>
      </c>
      <c r="J594" t="s">
        <v>505</v>
      </c>
      <c r="K594" s="6">
        <f t="shared" si="9"/>
        <v>1</v>
      </c>
    </row>
    <row r="595" spans="1:11" x14ac:dyDescent="0.2">
      <c r="A595" t="s">
        <v>496</v>
      </c>
      <c r="B595">
        <v>2019</v>
      </c>
      <c r="C595" t="s">
        <v>501</v>
      </c>
      <c r="D595" t="s">
        <v>501</v>
      </c>
      <c r="E595" s="5">
        <v>1</v>
      </c>
      <c r="I595" t="s">
        <v>503</v>
      </c>
      <c r="J595" t="s">
        <v>505</v>
      </c>
      <c r="K595" s="6">
        <f t="shared" si="9"/>
        <v>1</v>
      </c>
    </row>
    <row r="596" spans="1:11" x14ac:dyDescent="0.2">
      <c r="A596" t="s">
        <v>496</v>
      </c>
      <c r="B596">
        <v>2011</v>
      </c>
      <c r="C596" t="s">
        <v>507</v>
      </c>
      <c r="D596" t="s">
        <v>507</v>
      </c>
      <c r="E596" s="5">
        <v>1</v>
      </c>
      <c r="I596" t="s">
        <v>508</v>
      </c>
      <c r="J596" t="s">
        <v>504</v>
      </c>
      <c r="K596" s="6">
        <f t="shared" si="9"/>
        <v>1</v>
      </c>
    </row>
    <row r="597" spans="1:11" x14ac:dyDescent="0.2">
      <c r="A597" t="s">
        <v>496</v>
      </c>
      <c r="B597">
        <v>2010</v>
      </c>
      <c r="C597" t="s">
        <v>497</v>
      </c>
      <c r="D597" t="s">
        <v>509</v>
      </c>
      <c r="E597" s="5">
        <v>1</v>
      </c>
      <c r="I597" t="s">
        <v>499</v>
      </c>
      <c r="J597" t="s">
        <v>510</v>
      </c>
      <c r="K597" s="6">
        <f t="shared" si="9"/>
        <v>1</v>
      </c>
    </row>
    <row r="598" spans="1:11" x14ac:dyDescent="0.2">
      <c r="A598" t="s">
        <v>496</v>
      </c>
      <c r="B598">
        <v>2010</v>
      </c>
      <c r="C598" t="s">
        <v>497</v>
      </c>
      <c r="D598" t="s">
        <v>511</v>
      </c>
      <c r="E598" s="5">
        <v>1</v>
      </c>
      <c r="I598" t="s">
        <v>512</v>
      </c>
      <c r="J598" t="s">
        <v>513</v>
      </c>
      <c r="K598" s="6">
        <f t="shared" si="9"/>
        <v>1</v>
      </c>
    </row>
    <row r="599" spans="1:11" x14ac:dyDescent="0.2">
      <c r="A599" t="s">
        <v>496</v>
      </c>
      <c r="B599">
        <v>2010</v>
      </c>
      <c r="C599" t="s">
        <v>514</v>
      </c>
      <c r="D599" t="s">
        <v>511</v>
      </c>
      <c r="E599" s="5">
        <v>1</v>
      </c>
      <c r="I599" t="s">
        <v>508</v>
      </c>
      <c r="J599" t="s">
        <v>504</v>
      </c>
      <c r="K599" s="6">
        <f t="shared" si="9"/>
        <v>1</v>
      </c>
    </row>
    <row r="600" spans="1:11" x14ac:dyDescent="0.2">
      <c r="A600" t="s">
        <v>496</v>
      </c>
      <c r="B600">
        <v>2011</v>
      </c>
      <c r="C600" t="s">
        <v>497</v>
      </c>
      <c r="D600" t="s">
        <v>511</v>
      </c>
      <c r="E600" s="5">
        <v>1</v>
      </c>
      <c r="I600" t="s">
        <v>508</v>
      </c>
      <c r="J600" t="s">
        <v>504</v>
      </c>
      <c r="K600" s="6">
        <f t="shared" si="9"/>
        <v>1</v>
      </c>
    </row>
    <row r="601" spans="1:11" x14ac:dyDescent="0.2">
      <c r="A601" t="s">
        <v>496</v>
      </c>
      <c r="B601">
        <v>2010</v>
      </c>
      <c r="C601" t="s">
        <v>497</v>
      </c>
      <c r="D601" t="s">
        <v>515</v>
      </c>
      <c r="E601" s="5">
        <v>1</v>
      </c>
      <c r="I601" t="s">
        <v>516</v>
      </c>
      <c r="J601" t="s">
        <v>500</v>
      </c>
      <c r="K601" s="6">
        <f t="shared" si="9"/>
        <v>1</v>
      </c>
    </row>
    <row r="602" spans="1:11" x14ac:dyDescent="0.2">
      <c r="A602" t="s">
        <v>496</v>
      </c>
      <c r="B602">
        <v>2010</v>
      </c>
      <c r="C602" t="s">
        <v>497</v>
      </c>
      <c r="D602" t="s">
        <v>517</v>
      </c>
      <c r="E602" s="5">
        <v>1</v>
      </c>
      <c r="I602" t="s">
        <v>516</v>
      </c>
      <c r="J602" t="s">
        <v>500</v>
      </c>
      <c r="K602" s="6">
        <f t="shared" si="9"/>
        <v>1</v>
      </c>
    </row>
    <row r="603" spans="1:11" x14ac:dyDescent="0.2">
      <c r="A603" t="s">
        <v>496</v>
      </c>
      <c r="B603">
        <v>2010</v>
      </c>
      <c r="C603" t="s">
        <v>497</v>
      </c>
      <c r="D603" t="s">
        <v>518</v>
      </c>
      <c r="E603" s="5">
        <v>1</v>
      </c>
      <c r="I603" t="s">
        <v>499</v>
      </c>
      <c r="J603" t="s">
        <v>513</v>
      </c>
      <c r="K603" s="6">
        <f t="shared" si="9"/>
        <v>1</v>
      </c>
    </row>
    <row r="604" spans="1:11" x14ac:dyDescent="0.2">
      <c r="A604" t="s">
        <v>496</v>
      </c>
      <c r="B604">
        <v>2010</v>
      </c>
      <c r="C604" t="s">
        <v>497</v>
      </c>
      <c r="D604" t="s">
        <v>519</v>
      </c>
      <c r="E604" s="5">
        <v>1</v>
      </c>
      <c r="I604" t="s">
        <v>499</v>
      </c>
      <c r="J604" t="s">
        <v>513</v>
      </c>
      <c r="K604" s="6">
        <f t="shared" si="9"/>
        <v>1</v>
      </c>
    </row>
    <row r="605" spans="1:11" x14ac:dyDescent="0.2">
      <c r="A605" s="8" t="s">
        <v>520</v>
      </c>
      <c r="B605">
        <v>2015</v>
      </c>
      <c r="C605" s="8" t="s">
        <v>520</v>
      </c>
      <c r="D605" t="s">
        <v>521</v>
      </c>
      <c r="E605" s="5">
        <f>(30242394567/4)/(8259008883+6871718470+414281212+185383734+30242394567+4228529998+471749500)</f>
        <v>0.14920349574742384</v>
      </c>
      <c r="F605" s="11"/>
      <c r="G605" s="5">
        <f>(30242394567/4)/(8259008883+6871718470+414281212+185383734+30242394567+4228529998+471749500)</f>
        <v>0.14920349574742384</v>
      </c>
      <c r="I605" t="s">
        <v>522</v>
      </c>
      <c r="J605" t="s">
        <v>523</v>
      </c>
      <c r="K605" s="6">
        <f t="shared" si="9"/>
        <v>0.29840699149484767</v>
      </c>
    </row>
    <row r="606" spans="1:11" x14ac:dyDescent="0.2">
      <c r="A606" s="8" t="s">
        <v>520</v>
      </c>
      <c r="B606">
        <v>2016</v>
      </c>
      <c r="C606" s="8" t="s">
        <v>520</v>
      </c>
      <c r="D606" t="s">
        <v>521</v>
      </c>
      <c r="E606" s="5">
        <f>(35742409998/4)/(9303424303+5938175313+420743155+134654415+35742409998+4527494431+445831631)</f>
        <v>0.1581166223301094</v>
      </c>
      <c r="F606" s="11"/>
      <c r="G606" s="5">
        <f>(35742409998/4)/(9303424303+5938175313+420743155+134654415+35742409998+4527494431+445831631)</f>
        <v>0.1581166223301094</v>
      </c>
      <c r="I606" t="s">
        <v>522</v>
      </c>
      <c r="J606" t="s">
        <v>524</v>
      </c>
      <c r="K606" s="6">
        <f t="shared" si="9"/>
        <v>0.31623324466021879</v>
      </c>
    </row>
    <row r="607" spans="1:11" x14ac:dyDescent="0.2">
      <c r="A607" s="8" t="s">
        <v>520</v>
      </c>
      <c r="B607">
        <v>2017</v>
      </c>
      <c r="C607" s="8" t="s">
        <v>520</v>
      </c>
      <c r="D607" t="s">
        <v>521</v>
      </c>
      <c r="E607" s="7">
        <f>(30725856836/4)/(10108173230+5743353617+339487886+173418104+30725856836+3420834551)</f>
        <v>0.15207470288990732</v>
      </c>
      <c r="F607" s="12"/>
      <c r="G607" s="7">
        <f>(30725856836/4)/(10108173230+5743353617+339487886+173418104+30725856836+3420834551)</f>
        <v>0.15207470288990732</v>
      </c>
      <c r="H607" s="7"/>
      <c r="I607" t="s">
        <v>522</v>
      </c>
      <c r="J607" t="s">
        <v>525</v>
      </c>
      <c r="K607" s="6">
        <f t="shared" si="9"/>
        <v>0.30414940577981464</v>
      </c>
    </row>
    <row r="608" spans="1:11" x14ac:dyDescent="0.2">
      <c r="A608" s="8" t="s">
        <v>520</v>
      </c>
      <c r="B608">
        <v>2010</v>
      </c>
      <c r="C608" s="8" t="s">
        <v>520</v>
      </c>
      <c r="D608" t="s">
        <v>526</v>
      </c>
      <c r="G608" s="5">
        <f>(1511053016/2)/(8386605388+512487789+381048321+1058631409+1511053016+1648922755+563758813)</f>
        <v>5.3726300838135496E-2</v>
      </c>
      <c r="I608" t="s">
        <v>527</v>
      </c>
      <c r="J608" t="s">
        <v>528</v>
      </c>
      <c r="K608" s="6">
        <f t="shared" si="9"/>
        <v>5.3726300838135496E-2</v>
      </c>
    </row>
    <row r="609" spans="1:11" x14ac:dyDescent="0.2">
      <c r="A609" s="8" t="s">
        <v>520</v>
      </c>
      <c r="B609">
        <v>2013</v>
      </c>
      <c r="C609" s="8" t="s">
        <v>520</v>
      </c>
      <c r="D609" t="s">
        <v>526</v>
      </c>
      <c r="E609" s="5">
        <f>(7761555881/3)/(7455762059+729377271+613125371+1473896270+7761555881+4481390364+593734870)</f>
        <v>0.11195650928931908</v>
      </c>
      <c r="G609" s="5">
        <f>(7761555881/3)/(7455762059+729377271+613125371+1473896270+7761555881+4481390364+593734870)</f>
        <v>0.11195650928931908</v>
      </c>
      <c r="I609" t="s">
        <v>529</v>
      </c>
      <c r="J609" t="s">
        <v>530</v>
      </c>
      <c r="K609" s="6">
        <f t="shared" si="9"/>
        <v>0.22391301857863816</v>
      </c>
    </row>
    <row r="610" spans="1:11" x14ac:dyDescent="0.2">
      <c r="A610" s="8" t="s">
        <v>520</v>
      </c>
      <c r="B610">
        <v>2015</v>
      </c>
      <c r="C610" s="8" t="s">
        <v>520</v>
      </c>
      <c r="D610" t="s">
        <v>526</v>
      </c>
      <c r="E610" s="5">
        <f>(30242394567/4)/(8259008883+6871718470+414281212+185383734+30242394567+4228529998+471749500)</f>
        <v>0.14920349574742384</v>
      </c>
      <c r="F610" s="11"/>
      <c r="G610" s="5">
        <f>(30242394567/4)/(8259008883+6871718470+414281212+185383734+30242394567+4228529998+471749500)</f>
        <v>0.14920349574742384</v>
      </c>
      <c r="I610" t="s">
        <v>522</v>
      </c>
      <c r="J610" t="s">
        <v>523</v>
      </c>
      <c r="K610" s="6">
        <f t="shared" si="9"/>
        <v>0.29840699149484767</v>
      </c>
    </row>
    <row r="611" spans="1:11" x14ac:dyDescent="0.2">
      <c r="A611" s="8" t="s">
        <v>520</v>
      </c>
      <c r="B611">
        <v>2016</v>
      </c>
      <c r="C611" s="8" t="s">
        <v>520</v>
      </c>
      <c r="D611" t="s">
        <v>526</v>
      </c>
      <c r="E611" s="5">
        <v>0.25</v>
      </c>
      <c r="F611" s="11"/>
      <c r="G611" s="5">
        <v>0.25</v>
      </c>
      <c r="I611" t="s">
        <v>531</v>
      </c>
      <c r="J611" t="s">
        <v>524</v>
      </c>
      <c r="K611" s="6">
        <f t="shared" si="9"/>
        <v>0.5</v>
      </c>
    </row>
    <row r="612" spans="1:11" x14ac:dyDescent="0.2">
      <c r="A612" s="8" t="s">
        <v>520</v>
      </c>
      <c r="B612">
        <v>2017</v>
      </c>
      <c r="C612" s="8" t="s">
        <v>520</v>
      </c>
      <c r="D612" t="s">
        <v>526</v>
      </c>
      <c r="E612" s="7">
        <f>(22576234810/3)/(22576234810+2189148276+1801653090+1357047539)</f>
        <v>0.26949538184097699</v>
      </c>
      <c r="F612" s="12"/>
      <c r="G612" s="7">
        <f>(22576234810/3)/(22576234810+2189148276+1801653090+1357047539)</f>
        <v>0.26949538184097699</v>
      </c>
      <c r="H612" s="7"/>
      <c r="I612" t="s">
        <v>532</v>
      </c>
      <c r="J612" t="s">
        <v>533</v>
      </c>
      <c r="K612" s="6">
        <f t="shared" si="9"/>
        <v>0.53899076368195398</v>
      </c>
    </row>
    <row r="613" spans="1:11" x14ac:dyDescent="0.2">
      <c r="A613" t="s">
        <v>520</v>
      </c>
      <c r="B613">
        <v>2018</v>
      </c>
      <c r="C613" t="s">
        <v>520</v>
      </c>
      <c r="D613" t="s">
        <v>526</v>
      </c>
      <c r="E613" s="7">
        <f>(23957801119/3)/(23957801119+1613646049+739116000+1362479348)</f>
        <v>0.28858170191138272</v>
      </c>
      <c r="F613" s="12"/>
      <c r="G613" s="7">
        <f>(23957801119/3)/(23957801119+1613646049+739116000+1362479348)</f>
        <v>0.28858170191138272</v>
      </c>
      <c r="H613" s="7"/>
      <c r="I613" t="s">
        <v>532</v>
      </c>
      <c r="J613" t="s">
        <v>534</v>
      </c>
      <c r="K613" s="6">
        <f t="shared" si="9"/>
        <v>0.57716340382276543</v>
      </c>
    </row>
    <row r="614" spans="1:11" x14ac:dyDescent="0.2">
      <c r="A614" t="s">
        <v>520</v>
      </c>
      <c r="B614">
        <v>2010</v>
      </c>
      <c r="C614" t="s">
        <v>521</v>
      </c>
      <c r="D614" t="s">
        <v>535</v>
      </c>
      <c r="E614" s="7"/>
      <c r="F614" s="7"/>
      <c r="G614" s="7">
        <f>(1511053016/2)/(8386605388+512487789+381048321+1058631409+1511053016+1648922755+563758813)</f>
        <v>5.3726300838135496E-2</v>
      </c>
      <c r="H614" s="7"/>
      <c r="I614" t="s">
        <v>527</v>
      </c>
      <c r="J614" t="s">
        <v>528</v>
      </c>
      <c r="K614" s="6">
        <f t="shared" si="9"/>
        <v>5.3726300838135496E-2</v>
      </c>
    </row>
    <row r="615" spans="1:11" x14ac:dyDescent="0.2">
      <c r="A615" t="s">
        <v>520</v>
      </c>
      <c r="B615">
        <v>2011</v>
      </c>
      <c r="C615" t="s">
        <v>521</v>
      </c>
      <c r="D615" t="s">
        <v>535</v>
      </c>
      <c r="E615" s="7"/>
      <c r="F615" s="7"/>
      <c r="G615" s="7">
        <f>(4727434422/2)/(9272410265+1095127883+506706688+1384852529+4727434422+2908620502+586136668)</f>
        <v>0.11540861593049981</v>
      </c>
      <c r="H615" s="7"/>
      <c r="I615" t="s">
        <v>527</v>
      </c>
      <c r="J615" t="s">
        <v>528</v>
      </c>
      <c r="K615" s="6">
        <f t="shared" si="9"/>
        <v>0.11540861593049981</v>
      </c>
    </row>
    <row r="616" spans="1:11" x14ac:dyDescent="0.2">
      <c r="A616" t="s">
        <v>520</v>
      </c>
      <c r="B616">
        <v>2013</v>
      </c>
      <c r="C616" t="s">
        <v>521</v>
      </c>
      <c r="D616" t="s">
        <v>535</v>
      </c>
      <c r="E616" s="7">
        <f>(7761555881/3)/(7455762059+729377271+613125371+1473896270+7761555881+4481390364+593734870)</f>
        <v>0.11195650928931908</v>
      </c>
      <c r="F616" s="7"/>
      <c r="G616" s="7">
        <f>(7761555881/3)/(7455762059+729377271+613125371+1473896270+7761555881+4481390364+593734870)</f>
        <v>0.11195650928931908</v>
      </c>
      <c r="H616" s="7"/>
      <c r="I616" t="s">
        <v>529</v>
      </c>
      <c r="J616" t="s">
        <v>530</v>
      </c>
      <c r="K616" s="6">
        <f t="shared" si="9"/>
        <v>0.22391301857863816</v>
      </c>
    </row>
    <row r="617" spans="1:11" x14ac:dyDescent="0.2">
      <c r="A617" t="s">
        <v>520</v>
      </c>
      <c r="B617">
        <v>2010</v>
      </c>
      <c r="C617" t="s">
        <v>521</v>
      </c>
      <c r="D617" t="s">
        <v>536</v>
      </c>
      <c r="E617" s="7"/>
      <c r="F617" s="7"/>
      <c r="G617" s="7">
        <f>(1511053016/2)/(8386605388+512487789+381048321+1058631409+1511053016+1648922755+563758813)</f>
        <v>5.3726300838135496E-2</v>
      </c>
      <c r="H617" s="7"/>
      <c r="I617" t="s">
        <v>527</v>
      </c>
      <c r="J617" t="s">
        <v>528</v>
      </c>
      <c r="K617" s="6">
        <f t="shared" si="9"/>
        <v>5.3726300838135496E-2</v>
      </c>
    </row>
    <row r="618" spans="1:11" x14ac:dyDescent="0.2">
      <c r="A618" t="s">
        <v>520</v>
      </c>
      <c r="B618">
        <v>2011</v>
      </c>
      <c r="C618" t="s">
        <v>521</v>
      </c>
      <c r="D618" t="s">
        <v>536</v>
      </c>
      <c r="E618" s="7"/>
      <c r="F618" s="7"/>
      <c r="G618" s="7">
        <f>(4727434422/2)/(9272410265+1095127883+506706688+1384852529+4727434422+2908620502+586136668)</f>
        <v>0.11540861593049981</v>
      </c>
      <c r="H618" s="7"/>
      <c r="I618" t="s">
        <v>527</v>
      </c>
      <c r="J618" t="s">
        <v>528</v>
      </c>
      <c r="K618" s="6">
        <f t="shared" si="9"/>
        <v>0.11540861593049981</v>
      </c>
    </row>
    <row r="619" spans="1:11" x14ac:dyDescent="0.2">
      <c r="A619" t="s">
        <v>520</v>
      </c>
      <c r="B619">
        <v>2012</v>
      </c>
      <c r="C619" t="s">
        <v>521</v>
      </c>
      <c r="D619" t="s">
        <v>536</v>
      </c>
      <c r="E619" s="7"/>
      <c r="F619" s="7"/>
      <c r="G619" s="7">
        <f>(4727434422/2)/(9272410265+1095127883+506706688+1384852529+4727434422+2908620502+586136668)</f>
        <v>0.11540861593049981</v>
      </c>
      <c r="H619" s="7"/>
      <c r="I619" t="s">
        <v>527</v>
      </c>
      <c r="J619" t="s">
        <v>528</v>
      </c>
      <c r="K619" s="6">
        <f t="shared" si="9"/>
        <v>0.11540861593049981</v>
      </c>
    </row>
    <row r="620" spans="1:11" x14ac:dyDescent="0.2">
      <c r="A620" t="s">
        <v>520</v>
      </c>
      <c r="B620">
        <v>2013</v>
      </c>
      <c r="C620" t="s">
        <v>521</v>
      </c>
      <c r="D620" t="s">
        <v>536</v>
      </c>
      <c r="E620" s="7">
        <f>(7761555881/3)/(7455762059+729377271+613125371+1473896270+7761555881+4481390364+593734870)</f>
        <v>0.11195650928931908</v>
      </c>
      <c r="F620" s="7"/>
      <c r="G620" s="7">
        <f>(7761555881/3)/(7455762059+729377271+613125371+1473896270+7761555881+4481390364+593734870)</f>
        <v>0.11195650928931908</v>
      </c>
      <c r="H620" s="7"/>
      <c r="I620" t="s">
        <v>529</v>
      </c>
      <c r="J620" t="s">
        <v>530</v>
      </c>
      <c r="K620" s="6">
        <f t="shared" si="9"/>
        <v>0.22391301857863816</v>
      </c>
    </row>
    <row r="621" spans="1:11" x14ac:dyDescent="0.2">
      <c r="A621" t="s">
        <v>520</v>
      </c>
      <c r="B621">
        <v>2014</v>
      </c>
      <c r="C621" t="s">
        <v>521</v>
      </c>
      <c r="D621" t="s">
        <v>536</v>
      </c>
      <c r="E621" s="7">
        <f>(30242394567/4)/(8259008883+6871718470+414281212+185383734+30242394567+4228529998+471749500)</f>
        <v>0.14920349574742384</v>
      </c>
      <c r="F621" s="12"/>
      <c r="G621" s="7">
        <f>(30242394567/4)/(8259008883+6871718470+414281212+185383734+30242394567+4228529998+471749500)</f>
        <v>0.14920349574742384</v>
      </c>
      <c r="H621" s="7"/>
      <c r="I621" t="s">
        <v>522</v>
      </c>
      <c r="J621" t="s">
        <v>523</v>
      </c>
      <c r="K621" s="6">
        <f t="shared" si="9"/>
        <v>0.29840699149484767</v>
      </c>
    </row>
    <row r="622" spans="1:11" x14ac:dyDescent="0.2">
      <c r="A622" t="s">
        <v>520</v>
      </c>
      <c r="B622">
        <v>2015</v>
      </c>
      <c r="C622" t="s">
        <v>521</v>
      </c>
      <c r="D622" t="s">
        <v>536</v>
      </c>
      <c r="E622" s="7">
        <f>(30242394567/4)/(8259008883+6871718470+414281212+185383734+30242394567+4228529998+471749500)</f>
        <v>0.14920349574742384</v>
      </c>
      <c r="F622" s="12"/>
      <c r="G622" s="7">
        <f>(30242394567/4)/(8259008883+6871718470+414281212+185383734+30242394567+4228529998+471749500)</f>
        <v>0.14920349574742384</v>
      </c>
      <c r="H622" s="7"/>
      <c r="I622" t="s">
        <v>522</v>
      </c>
      <c r="J622" t="s">
        <v>523</v>
      </c>
      <c r="K622" s="6">
        <f t="shared" si="9"/>
        <v>0.29840699149484767</v>
      </c>
    </row>
    <row r="623" spans="1:11" x14ac:dyDescent="0.2">
      <c r="A623" t="s">
        <v>520</v>
      </c>
      <c r="B623">
        <v>2016</v>
      </c>
      <c r="C623" t="s">
        <v>521</v>
      </c>
      <c r="D623" t="s">
        <v>536</v>
      </c>
      <c r="E623" s="7">
        <v>0.25</v>
      </c>
      <c r="F623" s="12"/>
      <c r="G623" s="7">
        <v>0.25</v>
      </c>
      <c r="H623" s="7"/>
      <c r="I623" t="s">
        <v>531</v>
      </c>
      <c r="J623" t="s">
        <v>524</v>
      </c>
      <c r="K623" s="6">
        <f t="shared" si="9"/>
        <v>0.5</v>
      </c>
    </row>
    <row r="624" spans="1:11" x14ac:dyDescent="0.2">
      <c r="A624" t="s">
        <v>520</v>
      </c>
      <c r="B624">
        <v>2016</v>
      </c>
      <c r="C624" t="s">
        <v>536</v>
      </c>
      <c r="D624" t="s">
        <v>536</v>
      </c>
      <c r="E624" s="7">
        <v>0.25</v>
      </c>
      <c r="F624" s="12"/>
      <c r="G624" s="7">
        <v>0.25</v>
      </c>
      <c r="H624" s="7"/>
      <c r="I624" t="s">
        <v>531</v>
      </c>
      <c r="J624" t="s">
        <v>524</v>
      </c>
      <c r="K624" s="6">
        <f t="shared" si="9"/>
        <v>0.5</v>
      </c>
    </row>
    <row r="625" spans="1:11" x14ac:dyDescent="0.2">
      <c r="A625" s="8" t="s">
        <v>520</v>
      </c>
      <c r="B625">
        <v>2018</v>
      </c>
      <c r="C625" s="8" t="s">
        <v>520</v>
      </c>
      <c r="D625" t="s">
        <v>536</v>
      </c>
      <c r="E625" s="7">
        <f>(23957801119/3)/(23957801119+1613646049+739116000+1362479348)</f>
        <v>0.28858170191138272</v>
      </c>
      <c r="F625" s="12"/>
      <c r="G625" s="7">
        <f>(23957801119/3)/(23957801119+1613646049+739116000+1362479348)</f>
        <v>0.28858170191138272</v>
      </c>
      <c r="H625" s="7"/>
      <c r="I625" t="s">
        <v>532</v>
      </c>
      <c r="J625" t="s">
        <v>534</v>
      </c>
      <c r="K625" s="6">
        <f t="shared" si="9"/>
        <v>0.57716340382276543</v>
      </c>
    </row>
    <row r="626" spans="1:11" x14ac:dyDescent="0.2">
      <c r="A626" t="s">
        <v>520</v>
      </c>
      <c r="B626">
        <v>2018</v>
      </c>
      <c r="C626" s="8" t="s">
        <v>520</v>
      </c>
      <c r="D626" t="s">
        <v>536</v>
      </c>
      <c r="E626" s="7">
        <f>(23957801119/3)/(23957801119+1613646049+739116000+1362479348)</f>
        <v>0.28858170191138272</v>
      </c>
      <c r="F626" s="12"/>
      <c r="G626" s="7">
        <f>(23957801119/3)/(23957801119+1613646049+739116000+1362479348)</f>
        <v>0.28858170191138272</v>
      </c>
      <c r="H626" s="7"/>
      <c r="I626" t="s">
        <v>532</v>
      </c>
      <c r="J626" t="s">
        <v>534</v>
      </c>
      <c r="K626" s="6">
        <f t="shared" si="9"/>
        <v>0.57716340382276543</v>
      </c>
    </row>
    <row r="627" spans="1:11" x14ac:dyDescent="0.2">
      <c r="A627" t="s">
        <v>520</v>
      </c>
      <c r="B627">
        <v>2018</v>
      </c>
      <c r="C627" t="s">
        <v>536</v>
      </c>
      <c r="D627" t="s">
        <v>536</v>
      </c>
      <c r="E627" s="7">
        <f>(23957801119/3)/(23957801119+1613646049+739116000+1362479348)</f>
        <v>0.28858170191138272</v>
      </c>
      <c r="F627" s="12"/>
      <c r="G627" s="7">
        <f>(23957801119/3)/(23957801119+1613646049+739116000+1362479348)</f>
        <v>0.28858170191138272</v>
      </c>
      <c r="H627" s="7"/>
      <c r="I627" t="s">
        <v>532</v>
      </c>
      <c r="J627" t="s">
        <v>534</v>
      </c>
      <c r="K627" s="6">
        <f t="shared" si="9"/>
        <v>0.57716340382276543</v>
      </c>
    </row>
    <row r="628" spans="1:11" x14ac:dyDescent="0.2">
      <c r="A628" s="9" t="s">
        <v>520</v>
      </c>
      <c r="B628" s="9">
        <v>2019</v>
      </c>
      <c r="C628" s="9" t="s">
        <v>536</v>
      </c>
      <c r="D628" s="9" t="s">
        <v>536</v>
      </c>
      <c r="E628" s="10">
        <f>(23957801119/3)/(23957801119+1613646049+739116000+1362479348)</f>
        <v>0.28858170191138272</v>
      </c>
      <c r="F628" s="13"/>
      <c r="G628" s="10">
        <f>(23957801119/3)/(23957801119+1613646049+739116000+1362479348)</f>
        <v>0.28858170191138272</v>
      </c>
      <c r="H628" s="10"/>
      <c r="I628" s="9" t="s">
        <v>532</v>
      </c>
      <c r="J628" s="9" t="s">
        <v>534</v>
      </c>
      <c r="K628" s="6">
        <f t="shared" si="9"/>
        <v>0.57716340382276543</v>
      </c>
    </row>
    <row r="629" spans="1:11" x14ac:dyDescent="0.2">
      <c r="A629" s="8" t="s">
        <v>520</v>
      </c>
      <c r="B629">
        <v>2017</v>
      </c>
      <c r="C629" s="8" t="s">
        <v>520</v>
      </c>
      <c r="D629" t="s">
        <v>537</v>
      </c>
      <c r="E629" s="7">
        <f>(30725856836/4)/(10108173230+5743353617+339487886+173418104+30725856836+3420834551)</f>
        <v>0.15207470288990732</v>
      </c>
      <c r="F629" s="12"/>
      <c r="G629" s="7">
        <f>(30725856836/4)/(10108173230+5743353617+339487886+173418104+30725856836+3420834551)</f>
        <v>0.15207470288990732</v>
      </c>
      <c r="H629" s="7"/>
      <c r="I629" t="s">
        <v>522</v>
      </c>
      <c r="J629" t="s">
        <v>525</v>
      </c>
      <c r="K629" s="6">
        <f t="shared" si="9"/>
        <v>0.30414940577981464</v>
      </c>
    </row>
    <row r="630" spans="1:11" x14ac:dyDescent="0.2">
      <c r="A630" s="8" t="s">
        <v>520</v>
      </c>
      <c r="B630">
        <v>2018</v>
      </c>
      <c r="C630" s="8" t="s">
        <v>520</v>
      </c>
      <c r="D630" t="s">
        <v>537</v>
      </c>
      <c r="E630" s="7">
        <f>(33170287045/4)/(562947574+6705004847+328813728+635254936+33170287045+3136811361)</f>
        <v>0.1861862528046985</v>
      </c>
      <c r="F630" s="12"/>
      <c r="G630" s="7">
        <f>(33170287045/4)/(562947574+6705004847+328813728+635254936+33170287045+3136811361)</f>
        <v>0.1861862528046985</v>
      </c>
      <c r="H630" s="7"/>
      <c r="I630" t="s">
        <v>522</v>
      </c>
      <c r="J630" t="s">
        <v>538</v>
      </c>
      <c r="K630" s="6">
        <f t="shared" si="9"/>
        <v>0.372372505609397</v>
      </c>
    </row>
    <row r="631" spans="1:11" x14ac:dyDescent="0.2">
      <c r="A631" t="s">
        <v>520</v>
      </c>
      <c r="B631">
        <v>2018</v>
      </c>
      <c r="C631" s="8" t="s">
        <v>520</v>
      </c>
      <c r="D631" t="s">
        <v>537</v>
      </c>
      <c r="E631" s="7">
        <f>(33170287045/4)/(562947574+6705004847+328813728+635254936+33170287045+3136811361)</f>
        <v>0.1861862528046985</v>
      </c>
      <c r="F631" s="12"/>
      <c r="G631" s="7">
        <f>(33170287045/4)/(562947574+6705004847+328813728+635254936+33170287045+3136811361)</f>
        <v>0.1861862528046985</v>
      </c>
      <c r="H631" s="7"/>
      <c r="I631" t="s">
        <v>522</v>
      </c>
      <c r="J631" t="s">
        <v>538</v>
      </c>
      <c r="K631" s="6">
        <f t="shared" si="9"/>
        <v>0.372372505609397</v>
      </c>
    </row>
    <row r="632" spans="1:11" x14ac:dyDescent="0.2">
      <c r="A632" t="s">
        <v>520</v>
      </c>
      <c r="B632">
        <v>2018</v>
      </c>
      <c r="C632" t="s">
        <v>537</v>
      </c>
      <c r="D632" t="s">
        <v>537</v>
      </c>
      <c r="E632" s="7">
        <f>(33170287045/4)/(562947574+6705004847+328813728+635254936+33170287045+3136811361)</f>
        <v>0.1861862528046985</v>
      </c>
      <c r="F632" s="12"/>
      <c r="G632" s="7">
        <f>(33170287045/4)/(562947574+6705004847+328813728+635254936+33170287045+3136811361)</f>
        <v>0.1861862528046985</v>
      </c>
      <c r="H632" s="7"/>
      <c r="I632" t="s">
        <v>522</v>
      </c>
      <c r="J632" t="s">
        <v>538</v>
      </c>
      <c r="K632" s="6">
        <f t="shared" si="9"/>
        <v>0.372372505609397</v>
      </c>
    </row>
    <row r="633" spans="1:11" x14ac:dyDescent="0.2">
      <c r="A633" s="9" t="s">
        <v>520</v>
      </c>
      <c r="B633" s="9">
        <v>2019</v>
      </c>
      <c r="C633" s="9" t="s">
        <v>537</v>
      </c>
      <c r="D633" s="9" t="s">
        <v>537</v>
      </c>
      <c r="E633" s="10">
        <f>(33170287045/4)/(562947574+6705004847+328813728+635254936+33170287045+3136811361)</f>
        <v>0.1861862528046985</v>
      </c>
      <c r="F633" s="13"/>
      <c r="G633" s="10">
        <f>(33170287045/4)/(562947574+6705004847+328813728+635254936+33170287045+3136811361)</f>
        <v>0.1861862528046985</v>
      </c>
      <c r="H633" s="10"/>
      <c r="I633" s="9" t="s">
        <v>522</v>
      </c>
      <c r="J633" s="9" t="s">
        <v>538</v>
      </c>
      <c r="K633" s="6">
        <f t="shared" si="9"/>
        <v>0.372372505609397</v>
      </c>
    </row>
    <row r="634" spans="1:11" x14ac:dyDescent="0.2">
      <c r="A634" t="s">
        <v>539</v>
      </c>
      <c r="B634">
        <v>2011</v>
      </c>
      <c r="C634" t="s">
        <v>540</v>
      </c>
      <c r="D634" t="s">
        <v>540</v>
      </c>
      <c r="E634" s="5">
        <f>197543/443597</f>
        <v>0.44532086556040729</v>
      </c>
      <c r="I634" t="s">
        <v>541</v>
      </c>
      <c r="J634" t="s">
        <v>542</v>
      </c>
      <c r="K634" s="6">
        <f t="shared" si="9"/>
        <v>0.44532086556040729</v>
      </c>
    </row>
    <row r="635" spans="1:11" x14ac:dyDescent="0.2">
      <c r="A635" t="s">
        <v>539</v>
      </c>
      <c r="B635">
        <v>2014</v>
      </c>
      <c r="C635" t="s">
        <v>540</v>
      </c>
      <c r="D635" t="s">
        <v>540</v>
      </c>
      <c r="E635" s="5">
        <f>198416/598416</f>
        <v>0.33156867463436807</v>
      </c>
      <c r="I635" t="s">
        <v>541</v>
      </c>
      <c r="J635" t="s">
        <v>543</v>
      </c>
      <c r="K635" s="6">
        <f t="shared" si="9"/>
        <v>0.33156867463436807</v>
      </c>
    </row>
    <row r="636" spans="1:11" x14ac:dyDescent="0.2">
      <c r="A636" t="s">
        <v>539</v>
      </c>
      <c r="B636">
        <v>2015</v>
      </c>
      <c r="C636" t="s">
        <v>540</v>
      </c>
      <c r="D636" t="s">
        <v>540</v>
      </c>
      <c r="E636" s="5">
        <f>303291/886282</f>
        <v>0.34220597958663268</v>
      </c>
      <c r="I636" t="s">
        <v>541</v>
      </c>
      <c r="J636" t="s">
        <v>544</v>
      </c>
      <c r="K636" s="6">
        <f t="shared" si="9"/>
        <v>0.34220597958663268</v>
      </c>
    </row>
    <row r="637" spans="1:11" x14ac:dyDescent="0.2">
      <c r="A637" t="s">
        <v>539</v>
      </c>
      <c r="B637">
        <v>2016</v>
      </c>
      <c r="C637" t="s">
        <v>540</v>
      </c>
      <c r="D637" t="s">
        <v>540</v>
      </c>
      <c r="E637" s="5">
        <f>200011/554323</f>
        <v>0.36082031595297326</v>
      </c>
      <c r="I637" t="s">
        <v>541</v>
      </c>
      <c r="J637" t="s">
        <v>545</v>
      </c>
      <c r="K637" s="6">
        <f t="shared" si="9"/>
        <v>0.36082031595297326</v>
      </c>
    </row>
    <row r="638" spans="1:11" x14ac:dyDescent="0.2">
      <c r="A638" s="8" t="s">
        <v>539</v>
      </c>
      <c r="B638">
        <v>2018</v>
      </c>
      <c r="C638" s="8" t="s">
        <v>546</v>
      </c>
      <c r="D638" t="s">
        <v>547</v>
      </c>
      <c r="E638" s="12">
        <f>117603/1334418</f>
        <v>8.8130555792862511E-2</v>
      </c>
      <c r="F638" s="7"/>
      <c r="G638" s="7"/>
      <c r="H638" s="7"/>
      <c r="I638" t="s">
        <v>541</v>
      </c>
      <c r="J638" t="s">
        <v>548</v>
      </c>
      <c r="K638" s="6">
        <f t="shared" si="9"/>
        <v>8.8130555792862511E-2</v>
      </c>
    </row>
    <row r="639" spans="1:11" x14ac:dyDescent="0.2">
      <c r="A639" t="s">
        <v>539</v>
      </c>
      <c r="B639">
        <v>2018</v>
      </c>
      <c r="C639" t="s">
        <v>547</v>
      </c>
      <c r="D639" t="s">
        <v>547</v>
      </c>
      <c r="E639" s="12">
        <f>117603/1334418</f>
        <v>8.8130555792862511E-2</v>
      </c>
      <c r="F639" s="7"/>
      <c r="G639" s="7"/>
      <c r="H639" s="7"/>
      <c r="I639" t="s">
        <v>541</v>
      </c>
      <c r="J639" t="s">
        <v>548</v>
      </c>
      <c r="K639" s="6">
        <f t="shared" si="9"/>
        <v>8.8130555792862511E-2</v>
      </c>
    </row>
    <row r="640" spans="1:11" x14ac:dyDescent="0.2">
      <c r="A640" s="9" t="s">
        <v>539</v>
      </c>
      <c r="B640" s="9">
        <v>2019</v>
      </c>
      <c r="C640" s="9" t="s">
        <v>547</v>
      </c>
      <c r="D640" s="9" t="s">
        <v>547</v>
      </c>
      <c r="E640" s="13">
        <f>117603/1334418</f>
        <v>8.8130555792862511E-2</v>
      </c>
      <c r="F640" s="10"/>
      <c r="G640" s="10"/>
      <c r="H640" s="10"/>
      <c r="I640" s="9" t="s">
        <v>541</v>
      </c>
      <c r="J640" s="9" t="s">
        <v>548</v>
      </c>
      <c r="K640" s="6">
        <f t="shared" si="9"/>
        <v>8.8130555792862511E-2</v>
      </c>
    </row>
    <row r="641" spans="1:11" x14ac:dyDescent="0.2">
      <c r="A641" s="8" t="s">
        <v>539</v>
      </c>
      <c r="B641">
        <v>2016</v>
      </c>
      <c r="C641" s="8" t="s">
        <v>549</v>
      </c>
      <c r="D641" t="s">
        <v>550</v>
      </c>
      <c r="E641" s="12">
        <f>146678/(20928+88552+73329+146678+299981)</f>
        <v>0.23301899381700103</v>
      </c>
      <c r="F641" s="7"/>
      <c r="G641" s="7"/>
      <c r="H641" s="7"/>
      <c r="I641" t="s">
        <v>541</v>
      </c>
      <c r="J641" t="s">
        <v>551</v>
      </c>
      <c r="K641" s="6">
        <f t="shared" si="9"/>
        <v>0.23301899381700103</v>
      </c>
    </row>
    <row r="642" spans="1:11" x14ac:dyDescent="0.2">
      <c r="A642" t="s">
        <v>539</v>
      </c>
      <c r="B642">
        <v>2019</v>
      </c>
      <c r="C642" t="s">
        <v>540</v>
      </c>
      <c r="D642" t="s">
        <v>550</v>
      </c>
      <c r="E642" s="12">
        <f>117603/1334418</f>
        <v>8.8130555792862511E-2</v>
      </c>
      <c r="F642" s="7"/>
      <c r="G642" s="7"/>
      <c r="H642" s="7"/>
      <c r="I642" t="s">
        <v>541</v>
      </c>
      <c r="J642" t="s">
        <v>548</v>
      </c>
      <c r="K642" s="6">
        <f t="shared" ref="K642:K705" si="10">SUM(E642:H642)</f>
        <v>8.8130555792862511E-2</v>
      </c>
    </row>
    <row r="643" spans="1:11" x14ac:dyDescent="0.2">
      <c r="A643" t="s">
        <v>539</v>
      </c>
      <c r="B643">
        <v>2015</v>
      </c>
      <c r="C643" t="s">
        <v>552</v>
      </c>
      <c r="D643" t="s">
        <v>552</v>
      </c>
      <c r="E643" s="7">
        <f>303291/886282</f>
        <v>0.34220597958663268</v>
      </c>
      <c r="F643" s="7"/>
      <c r="G643" s="7"/>
      <c r="H643" s="7"/>
      <c r="I643" t="s">
        <v>541</v>
      </c>
      <c r="J643" t="s">
        <v>544</v>
      </c>
      <c r="K643" s="6">
        <f t="shared" si="10"/>
        <v>0.34220597958663268</v>
      </c>
    </row>
    <row r="644" spans="1:11" x14ac:dyDescent="0.2">
      <c r="A644" t="s">
        <v>539</v>
      </c>
      <c r="B644">
        <v>2016</v>
      </c>
      <c r="C644" t="s">
        <v>552</v>
      </c>
      <c r="D644" t="s">
        <v>552</v>
      </c>
      <c r="E644" s="7">
        <f>200011/554323</f>
        <v>0.36082031595297326</v>
      </c>
      <c r="F644" s="7"/>
      <c r="G644" s="7"/>
      <c r="H644" s="7"/>
      <c r="I644" t="s">
        <v>541</v>
      </c>
      <c r="J644" t="s">
        <v>545</v>
      </c>
      <c r="K644" s="6">
        <f t="shared" si="10"/>
        <v>0.36082031595297326</v>
      </c>
    </row>
    <row r="645" spans="1:11" x14ac:dyDescent="0.2">
      <c r="A645" t="s">
        <v>539</v>
      </c>
      <c r="B645">
        <v>2017</v>
      </c>
      <c r="C645" t="s">
        <v>552</v>
      </c>
      <c r="D645" t="s">
        <v>552</v>
      </c>
      <c r="E645" s="12">
        <f>117603/(6392+563621+62663+117603+584139)</f>
        <v>8.8130555792862511E-2</v>
      </c>
      <c r="F645" s="7"/>
      <c r="G645" s="7"/>
      <c r="H645" s="7"/>
      <c r="I645" t="s">
        <v>541</v>
      </c>
      <c r="J645" t="s">
        <v>553</v>
      </c>
      <c r="K645" s="6">
        <f t="shared" si="10"/>
        <v>8.8130555792862511E-2</v>
      </c>
    </row>
    <row r="646" spans="1:11" x14ac:dyDescent="0.2">
      <c r="A646" s="8" t="s">
        <v>539</v>
      </c>
      <c r="B646">
        <v>2018</v>
      </c>
      <c r="C646" s="8" t="s">
        <v>546</v>
      </c>
      <c r="D646" t="s">
        <v>552</v>
      </c>
      <c r="E646" s="12">
        <f>117603/(6392+563621+62663+117603+584139)</f>
        <v>8.8130555792862511E-2</v>
      </c>
      <c r="F646" s="7"/>
      <c r="G646" s="7"/>
      <c r="H646" s="7"/>
      <c r="I646" t="s">
        <v>541</v>
      </c>
      <c r="J646" t="s">
        <v>553</v>
      </c>
      <c r="K646" s="6">
        <f t="shared" si="10"/>
        <v>8.8130555792862511E-2</v>
      </c>
    </row>
    <row r="647" spans="1:11" x14ac:dyDescent="0.2">
      <c r="A647" t="s">
        <v>539</v>
      </c>
      <c r="B647">
        <v>2018</v>
      </c>
      <c r="C647" s="8" t="s">
        <v>546</v>
      </c>
      <c r="D647" t="s">
        <v>552</v>
      </c>
      <c r="E647" s="12">
        <f>117603/1334418</f>
        <v>8.8130555792862511E-2</v>
      </c>
      <c r="F647" s="7"/>
      <c r="G647" s="7"/>
      <c r="H647" s="7"/>
      <c r="I647" t="s">
        <v>541</v>
      </c>
      <c r="J647" t="s">
        <v>548</v>
      </c>
      <c r="K647" s="6">
        <f t="shared" si="10"/>
        <v>8.8130555792862511E-2</v>
      </c>
    </row>
    <row r="648" spans="1:11" x14ac:dyDescent="0.2">
      <c r="A648" t="s">
        <v>539</v>
      </c>
      <c r="B648">
        <v>2018</v>
      </c>
      <c r="C648" t="s">
        <v>552</v>
      </c>
      <c r="D648" t="s">
        <v>552</v>
      </c>
      <c r="E648" s="12">
        <f>117603/1334418</f>
        <v>8.8130555792862511E-2</v>
      </c>
      <c r="F648" s="7"/>
      <c r="G648" s="7"/>
      <c r="H648" s="7"/>
      <c r="I648" t="s">
        <v>541</v>
      </c>
      <c r="J648" t="s">
        <v>548</v>
      </c>
      <c r="K648" s="6">
        <f t="shared" si="10"/>
        <v>8.8130555792862511E-2</v>
      </c>
    </row>
    <row r="649" spans="1:11" x14ac:dyDescent="0.2">
      <c r="A649" s="9" t="s">
        <v>539</v>
      </c>
      <c r="B649" s="9">
        <v>2019</v>
      </c>
      <c r="C649" s="9" t="s">
        <v>552</v>
      </c>
      <c r="D649" s="9" t="s">
        <v>552</v>
      </c>
      <c r="E649" s="13">
        <f>117603/1334418</f>
        <v>8.8130555792862511E-2</v>
      </c>
      <c r="F649" s="10"/>
      <c r="G649" s="10"/>
      <c r="H649" s="10"/>
      <c r="I649" s="9" t="s">
        <v>541</v>
      </c>
      <c r="J649" s="9" t="s">
        <v>548</v>
      </c>
      <c r="K649" s="6">
        <f t="shared" si="10"/>
        <v>8.8130555792862511E-2</v>
      </c>
    </row>
    <row r="650" spans="1:11" x14ac:dyDescent="0.2">
      <c r="A650" t="s">
        <v>539</v>
      </c>
      <c r="B650">
        <v>2015</v>
      </c>
      <c r="C650" t="s">
        <v>554</v>
      </c>
      <c r="D650" t="s">
        <v>554</v>
      </c>
      <c r="E650" s="5">
        <v>1</v>
      </c>
      <c r="I650" t="s">
        <v>555</v>
      </c>
      <c r="J650" t="s">
        <v>556</v>
      </c>
      <c r="K650" s="6">
        <f t="shared" si="10"/>
        <v>1</v>
      </c>
    </row>
    <row r="651" spans="1:11" x14ac:dyDescent="0.2">
      <c r="A651" t="s">
        <v>539</v>
      </c>
      <c r="B651">
        <v>2016</v>
      </c>
      <c r="C651" t="s">
        <v>554</v>
      </c>
      <c r="D651" t="s">
        <v>554</v>
      </c>
      <c r="E651" s="5">
        <v>1</v>
      </c>
      <c r="I651" t="s">
        <v>555</v>
      </c>
      <c r="J651" t="s">
        <v>556</v>
      </c>
      <c r="K651" s="6">
        <f t="shared" si="10"/>
        <v>1</v>
      </c>
    </row>
    <row r="652" spans="1:11" x14ac:dyDescent="0.2">
      <c r="A652" t="s">
        <v>539</v>
      </c>
      <c r="B652">
        <v>2017</v>
      </c>
      <c r="C652" t="s">
        <v>554</v>
      </c>
      <c r="D652" t="s">
        <v>554</v>
      </c>
      <c r="E652" s="5">
        <v>1</v>
      </c>
      <c r="I652" t="s">
        <v>555</v>
      </c>
      <c r="J652" t="s">
        <v>556</v>
      </c>
      <c r="K652" s="6">
        <f t="shared" si="10"/>
        <v>1</v>
      </c>
    </row>
    <row r="653" spans="1:11" x14ac:dyDescent="0.2">
      <c r="A653" s="8" t="s">
        <v>539</v>
      </c>
      <c r="B653">
        <v>2018</v>
      </c>
      <c r="C653" s="8" t="s">
        <v>539</v>
      </c>
      <c r="D653" t="s">
        <v>554</v>
      </c>
      <c r="E653" s="5">
        <v>1</v>
      </c>
      <c r="I653" t="s">
        <v>557</v>
      </c>
      <c r="J653" t="s">
        <v>558</v>
      </c>
      <c r="K653" s="6">
        <f t="shared" si="10"/>
        <v>1</v>
      </c>
    </row>
    <row r="654" spans="1:11" x14ac:dyDescent="0.2">
      <c r="A654" t="s">
        <v>539</v>
      </c>
      <c r="B654">
        <v>2018</v>
      </c>
      <c r="C654" s="8" t="s">
        <v>539</v>
      </c>
      <c r="D654" t="s">
        <v>554</v>
      </c>
      <c r="E654" s="5">
        <v>1</v>
      </c>
      <c r="I654" t="s">
        <v>557</v>
      </c>
      <c r="J654" t="s">
        <v>558</v>
      </c>
      <c r="K654" s="6">
        <f t="shared" si="10"/>
        <v>1</v>
      </c>
    </row>
    <row r="655" spans="1:11" x14ac:dyDescent="0.2">
      <c r="A655" t="s">
        <v>539</v>
      </c>
      <c r="B655">
        <v>2018</v>
      </c>
      <c r="C655" t="s">
        <v>554</v>
      </c>
      <c r="D655" t="s">
        <v>554</v>
      </c>
      <c r="E655" s="5">
        <v>1</v>
      </c>
      <c r="I655" t="s">
        <v>557</v>
      </c>
      <c r="J655" t="s">
        <v>558</v>
      </c>
      <c r="K655" s="6">
        <f t="shared" si="10"/>
        <v>1</v>
      </c>
    </row>
    <row r="656" spans="1:11" x14ac:dyDescent="0.2">
      <c r="A656" t="s">
        <v>539</v>
      </c>
      <c r="B656">
        <v>2019</v>
      </c>
      <c r="C656" t="s">
        <v>554</v>
      </c>
      <c r="D656" t="s">
        <v>554</v>
      </c>
      <c r="E656" s="5">
        <v>1</v>
      </c>
      <c r="I656" t="s">
        <v>557</v>
      </c>
      <c r="J656" t="s">
        <v>558</v>
      </c>
      <c r="K656" s="6">
        <f t="shared" si="10"/>
        <v>1</v>
      </c>
    </row>
    <row r="657" spans="1:11" x14ac:dyDescent="0.2">
      <c r="A657" t="s">
        <v>559</v>
      </c>
      <c r="B657">
        <v>2016</v>
      </c>
      <c r="C657" t="s">
        <v>560</v>
      </c>
      <c r="D657" t="s">
        <v>560</v>
      </c>
      <c r="E657" s="5">
        <f>(27842515+(300/2))/27842815</f>
        <v>0.99999461261370304</v>
      </c>
      <c r="H657" s="5">
        <f>((300/2))/27842815</f>
        <v>5.3873862969674579E-6</v>
      </c>
      <c r="I657" t="s">
        <v>561</v>
      </c>
      <c r="J657" t="s">
        <v>562</v>
      </c>
      <c r="K657" s="6">
        <f t="shared" si="10"/>
        <v>1</v>
      </c>
    </row>
    <row r="658" spans="1:11" x14ac:dyDescent="0.2">
      <c r="A658" t="s">
        <v>559</v>
      </c>
      <c r="B658">
        <v>2017</v>
      </c>
      <c r="C658" t="s">
        <v>560</v>
      </c>
      <c r="D658" t="s">
        <v>560</v>
      </c>
      <c r="E658" s="5">
        <f>(28057216)/(28057216)</f>
        <v>1</v>
      </c>
      <c r="H658" s="5">
        <v>0</v>
      </c>
      <c r="I658" t="s">
        <v>561</v>
      </c>
      <c r="J658" s="5" t="s">
        <v>563</v>
      </c>
      <c r="K658" s="6">
        <f t="shared" si="10"/>
        <v>1</v>
      </c>
    </row>
    <row r="659" spans="1:11" x14ac:dyDescent="0.2">
      <c r="A659" s="8" t="s">
        <v>559</v>
      </c>
      <c r="B659">
        <v>2018</v>
      </c>
      <c r="C659" s="8" t="s">
        <v>559</v>
      </c>
      <c r="D659" t="s">
        <v>560</v>
      </c>
      <c r="E659" s="7">
        <f>(22547763+(4142/2))/(22547763+4142)</f>
        <v>0.99990816740315291</v>
      </c>
      <c r="F659" s="7"/>
      <c r="G659" s="7"/>
      <c r="H659" s="7">
        <f>((4142/2))/(22547763+4142)</f>
        <v>9.1832596847139959E-5</v>
      </c>
      <c r="I659" t="s">
        <v>561</v>
      </c>
      <c r="J659" s="7" t="s">
        <v>564</v>
      </c>
      <c r="K659" s="6">
        <f t="shared" si="10"/>
        <v>1</v>
      </c>
    </row>
    <row r="660" spans="1:11" x14ac:dyDescent="0.2">
      <c r="A660" t="s">
        <v>559</v>
      </c>
      <c r="B660">
        <v>2018</v>
      </c>
      <c r="C660" s="8" t="s">
        <v>559</v>
      </c>
      <c r="D660" t="s">
        <v>560</v>
      </c>
      <c r="E660" s="7">
        <f>(22547763+(4142/2))/(22547763+4142)</f>
        <v>0.99990816740315291</v>
      </c>
      <c r="F660" s="7"/>
      <c r="G660" s="7"/>
      <c r="H660" s="7">
        <f>((4142/2))/(22547763+4142)</f>
        <v>9.1832596847139959E-5</v>
      </c>
      <c r="I660" t="s">
        <v>561</v>
      </c>
      <c r="J660" s="7" t="s">
        <v>564</v>
      </c>
      <c r="K660" s="6">
        <f t="shared" si="10"/>
        <v>1</v>
      </c>
    </row>
    <row r="661" spans="1:11" x14ac:dyDescent="0.2">
      <c r="A661" s="9" t="s">
        <v>559</v>
      </c>
      <c r="B661" s="9">
        <v>2019</v>
      </c>
      <c r="C661" s="9" t="s">
        <v>560</v>
      </c>
      <c r="D661" s="9" t="s">
        <v>560</v>
      </c>
      <c r="E661" s="10">
        <f>(22547763+(4142/2))/(22547763+4142)</f>
        <v>0.99990816740315291</v>
      </c>
      <c r="F661" s="10"/>
      <c r="G661" s="10"/>
      <c r="H661" s="10">
        <f>((4142/2))/(22547763+4142)</f>
        <v>9.1832596847139959E-5</v>
      </c>
      <c r="I661" s="9" t="s">
        <v>561</v>
      </c>
      <c r="J661" s="10" t="s">
        <v>564</v>
      </c>
      <c r="K661" s="6">
        <f t="shared" si="10"/>
        <v>1</v>
      </c>
    </row>
    <row r="662" spans="1:11" x14ac:dyDescent="0.2">
      <c r="A662" t="s">
        <v>559</v>
      </c>
      <c r="B662">
        <v>2013</v>
      </c>
      <c r="C662" t="s">
        <v>559</v>
      </c>
      <c r="D662" t="s">
        <v>565</v>
      </c>
      <c r="E662" s="5">
        <v>1</v>
      </c>
      <c r="I662" s="5" t="s">
        <v>566</v>
      </c>
      <c r="J662" s="5" t="s">
        <v>567</v>
      </c>
      <c r="K662" s="6">
        <f t="shared" si="10"/>
        <v>1</v>
      </c>
    </row>
    <row r="663" spans="1:11" x14ac:dyDescent="0.2">
      <c r="A663" t="s">
        <v>568</v>
      </c>
      <c r="B663">
        <v>2010</v>
      </c>
      <c r="C663" t="s">
        <v>569</v>
      </c>
      <c r="D663" t="s">
        <v>569</v>
      </c>
      <c r="E663" s="5">
        <f>((110596*(154709/155779))+290731)/(110596+4492+2399+290731+27413)</f>
        <v>0.91951066085544553</v>
      </c>
      <c r="H663" s="5">
        <f>((110596*(632/155779)))/(110596+4492+2399+290731+27413)</f>
        <v>1.0299800419639005E-3</v>
      </c>
      <c r="I663" t="s">
        <v>570</v>
      </c>
      <c r="J663" t="s">
        <v>571</v>
      </c>
      <c r="K663" s="6">
        <f t="shared" si="10"/>
        <v>0.92054064089740939</v>
      </c>
    </row>
    <row r="664" spans="1:11" x14ac:dyDescent="0.2">
      <c r="A664" t="s">
        <v>568</v>
      </c>
      <c r="B664">
        <v>2013</v>
      </c>
      <c r="C664" t="s">
        <v>569</v>
      </c>
      <c r="D664" t="s">
        <v>569</v>
      </c>
      <c r="E664" s="5">
        <f>((93.5*(160626/(161754)))+114.9)/(93.5+114.9+21.7)</f>
        <v>0.90285950824709937</v>
      </c>
      <c r="H664" s="5">
        <f>((93.5*(495/(161754))))/(93.5+114.9+21.7)</f>
        <v>1.2434982030997577E-3</v>
      </c>
      <c r="I664" t="s">
        <v>572</v>
      </c>
      <c r="J664" t="s">
        <v>573</v>
      </c>
      <c r="K664" s="6">
        <f t="shared" si="10"/>
        <v>0.90410300645019914</v>
      </c>
    </row>
    <row r="665" spans="1:11" x14ac:dyDescent="0.2">
      <c r="A665" t="s">
        <v>568</v>
      </c>
      <c r="B665">
        <v>2017</v>
      </c>
      <c r="C665" t="s">
        <v>574</v>
      </c>
      <c r="D665" t="s">
        <v>574</v>
      </c>
      <c r="E665" s="11">
        <f>((246.7*(174396/175447))+259.9)/(246.7+259.9+2.2)</f>
        <v>0.99277155090073077</v>
      </c>
      <c r="H665" s="11">
        <f>((246.7*(470/175447)))/(246.7+259.9+2.2)</f>
        <v>1.2988947404891005E-3</v>
      </c>
      <c r="I665" t="s">
        <v>572</v>
      </c>
      <c r="J665" t="s">
        <v>575</v>
      </c>
      <c r="K665" s="6">
        <f t="shared" si="10"/>
        <v>0.99407044564121982</v>
      </c>
    </row>
    <row r="666" spans="1:11" x14ac:dyDescent="0.2">
      <c r="A666" s="8" t="s">
        <v>568</v>
      </c>
      <c r="B666">
        <v>2018</v>
      </c>
      <c r="C666" s="8" t="s">
        <v>568</v>
      </c>
      <c r="D666" t="s">
        <v>574</v>
      </c>
      <c r="E666" s="12">
        <f>((233.2*(176156/177279))+62+9.3)/(233.2+62+9.3)</f>
        <v>0.99514863766502182</v>
      </c>
      <c r="F666" s="7"/>
      <c r="G666" s="7"/>
      <c r="H666" s="12">
        <f>((233.2*(475/177279)))/(233.2+62+9.3)</f>
        <v>2.0520009876354665E-3</v>
      </c>
      <c r="I666" t="s">
        <v>572</v>
      </c>
      <c r="J666" t="s">
        <v>576</v>
      </c>
      <c r="K666" s="6">
        <f t="shared" si="10"/>
        <v>0.99720063865265729</v>
      </c>
    </row>
    <row r="667" spans="1:11" x14ac:dyDescent="0.2">
      <c r="A667" t="s">
        <v>568</v>
      </c>
      <c r="B667">
        <v>2018</v>
      </c>
      <c r="C667" t="s">
        <v>574</v>
      </c>
      <c r="D667" t="s">
        <v>574</v>
      </c>
      <c r="E667" s="12">
        <f>((233.2*(176156/177279))+62+9.3)/(233.2+62+9.3)</f>
        <v>0.99514863766502182</v>
      </c>
      <c r="F667" s="7"/>
      <c r="G667" s="7"/>
      <c r="H667" s="12">
        <f>((233.2*(475/177279)))/(233.2+62+9.3)</f>
        <v>2.0520009876354665E-3</v>
      </c>
      <c r="I667" t="s">
        <v>572</v>
      </c>
      <c r="J667" t="s">
        <v>576</v>
      </c>
      <c r="K667" s="6">
        <f t="shared" si="10"/>
        <v>0.99720063865265729</v>
      </c>
    </row>
    <row r="668" spans="1:11" x14ac:dyDescent="0.2">
      <c r="A668" t="s">
        <v>568</v>
      </c>
      <c r="B668">
        <v>2018</v>
      </c>
      <c r="C668" t="s">
        <v>574</v>
      </c>
      <c r="D668" t="s">
        <v>574</v>
      </c>
      <c r="E668" s="12">
        <f>((233.2*(176156/177279))+62+9.3)/(233.2+62+9.3)</f>
        <v>0.99514863766502182</v>
      </c>
      <c r="F668" s="7"/>
      <c r="G668" s="7"/>
      <c r="H668" s="12">
        <f>((233.2*(475/177279)))/(233.2+62+9.3)</f>
        <v>2.0520009876354665E-3</v>
      </c>
      <c r="I668" t="s">
        <v>572</v>
      </c>
      <c r="J668" t="s">
        <v>576</v>
      </c>
      <c r="K668" s="6">
        <f t="shared" si="10"/>
        <v>0.99720063865265729</v>
      </c>
    </row>
    <row r="669" spans="1:11" x14ac:dyDescent="0.2">
      <c r="A669" t="s">
        <v>568</v>
      </c>
      <c r="B669">
        <v>2019</v>
      </c>
      <c r="C669" t="s">
        <v>574</v>
      </c>
      <c r="D669" t="s">
        <v>574</v>
      </c>
      <c r="E669" s="7">
        <f>((279.1*(176156/177279))+121.7+23.9)/(279.1+121.7+23.9)</f>
        <v>0.99583706108325132</v>
      </c>
      <c r="F669" s="7"/>
      <c r="G669" s="7"/>
      <c r="H669" s="7">
        <f>((279.1*(745/177279)))/(279.1+121.7+23.9)</f>
        <v>2.7617003499356236E-3</v>
      </c>
      <c r="I669" t="s">
        <v>572</v>
      </c>
      <c r="J669" t="s">
        <v>577</v>
      </c>
      <c r="K669" s="6">
        <f t="shared" si="10"/>
        <v>0.99859876143318693</v>
      </c>
    </row>
    <row r="670" spans="1:11" x14ac:dyDescent="0.2">
      <c r="A670" t="s">
        <v>568</v>
      </c>
      <c r="B670">
        <v>2015</v>
      </c>
      <c r="C670" t="s">
        <v>569</v>
      </c>
      <c r="D670" t="s">
        <v>578</v>
      </c>
      <c r="E670" s="5">
        <f>((316.5*(178768/(179822)))+233.2)/(316.5+233.2+1.5)</f>
        <v>0.99391306633027621</v>
      </c>
      <c r="H670" s="5">
        <f>((316.5*(470/(179822))))/(316.5+233.2+1.5)</f>
        <v>1.5007886608849237E-3</v>
      </c>
      <c r="I670" t="s">
        <v>572</v>
      </c>
      <c r="J670" t="s">
        <v>579</v>
      </c>
      <c r="K670" s="6">
        <f t="shared" si="10"/>
        <v>0.99541385499116108</v>
      </c>
    </row>
    <row r="671" spans="1:11" x14ac:dyDescent="0.2">
      <c r="A671" s="8" t="s">
        <v>568</v>
      </c>
      <c r="B671">
        <v>2017</v>
      </c>
      <c r="C671" s="8" t="s">
        <v>568</v>
      </c>
      <c r="D671" t="s">
        <v>578</v>
      </c>
      <c r="E671" s="11">
        <f>((246.7*(174396/175447))+259.9)/(246.7+259.9+2.2)</f>
        <v>0.99277155090073077</v>
      </c>
      <c r="H671" s="11">
        <f>((246.7*(470/175447)))/(246.7+259.9+2.2)</f>
        <v>1.2988947404891005E-3</v>
      </c>
      <c r="I671" t="s">
        <v>572</v>
      </c>
      <c r="J671" t="s">
        <v>575</v>
      </c>
      <c r="K671" s="6">
        <f t="shared" si="10"/>
        <v>0.99407044564121982</v>
      </c>
    </row>
    <row r="672" spans="1:11" x14ac:dyDescent="0.2">
      <c r="A672" t="s">
        <v>568</v>
      </c>
      <c r="B672">
        <v>2015</v>
      </c>
      <c r="C672" t="s">
        <v>580</v>
      </c>
      <c r="D672" t="s">
        <v>580</v>
      </c>
      <c r="E672" s="5">
        <f>((316.5*(178768/(179822)))+233.2)/(316.5+233.2+1.5)</f>
        <v>0.99391306633027621</v>
      </c>
      <c r="H672" s="5">
        <f>((316.5*(470/(179822))))/(316.5+233.2+1.5)</f>
        <v>1.5007886608849237E-3</v>
      </c>
      <c r="I672" t="s">
        <v>572</v>
      </c>
      <c r="J672" t="s">
        <v>579</v>
      </c>
      <c r="K672" s="6">
        <f t="shared" si="10"/>
        <v>0.99541385499116108</v>
      </c>
    </row>
    <row r="673" spans="1:11" x14ac:dyDescent="0.2">
      <c r="A673" t="s">
        <v>568</v>
      </c>
      <c r="B673">
        <v>2016</v>
      </c>
      <c r="C673" t="s">
        <v>580</v>
      </c>
      <c r="D673" t="s">
        <v>580</v>
      </c>
      <c r="E673" s="7">
        <f>((217*(179271/(180322)))+264.2)/(217+264.2+0.5)</f>
        <v>0.99633635801424281</v>
      </c>
      <c r="F673" s="7"/>
      <c r="G673" s="7"/>
      <c r="H673" s="7">
        <f>((217*(470/(180322))))/(217+264.2+0.5)</f>
        <v>1.1741733792355496E-3</v>
      </c>
      <c r="I673" t="s">
        <v>572</v>
      </c>
      <c r="J673" t="s">
        <v>581</v>
      </c>
      <c r="K673" s="6">
        <f t="shared" si="10"/>
        <v>0.99751053139347834</v>
      </c>
    </row>
    <row r="674" spans="1:11" x14ac:dyDescent="0.2">
      <c r="A674" t="s">
        <v>568</v>
      </c>
      <c r="B674">
        <v>2017</v>
      </c>
      <c r="C674" t="s">
        <v>580</v>
      </c>
      <c r="D674" t="s">
        <v>580</v>
      </c>
      <c r="E674" s="12">
        <f>((246.7*(174396/175447))+259.9)/(246.7+259.9+2.2)</f>
        <v>0.99277155090073077</v>
      </c>
      <c r="F674" s="7"/>
      <c r="G674" s="7"/>
      <c r="H674" s="12">
        <f>((246.7*(470/175447)))/(246.7+259.9+2.2)</f>
        <v>1.2988947404891005E-3</v>
      </c>
      <c r="I674" t="s">
        <v>572</v>
      </c>
      <c r="J674" t="s">
        <v>575</v>
      </c>
      <c r="K674" s="6">
        <f t="shared" si="10"/>
        <v>0.99407044564121982</v>
      </c>
    </row>
    <row r="675" spans="1:11" x14ac:dyDescent="0.2">
      <c r="A675" s="8" t="s">
        <v>568</v>
      </c>
      <c r="B675">
        <v>2018</v>
      </c>
      <c r="C675" s="8" t="s">
        <v>568</v>
      </c>
      <c r="D675" t="s">
        <v>580</v>
      </c>
      <c r="E675" s="12">
        <f>((233.2*(176156/177279))+62+9.3)/(233.2+62+9.3)</f>
        <v>0.99514863766502182</v>
      </c>
      <c r="F675" s="7"/>
      <c r="G675" s="7"/>
      <c r="H675" s="12">
        <f>((233.2*(475/177279)))/(233.2+62+9.3)</f>
        <v>2.0520009876354665E-3</v>
      </c>
      <c r="I675" t="s">
        <v>572</v>
      </c>
      <c r="J675" t="s">
        <v>576</v>
      </c>
      <c r="K675" s="6">
        <f t="shared" si="10"/>
        <v>0.99720063865265729</v>
      </c>
    </row>
    <row r="676" spans="1:11" x14ac:dyDescent="0.2">
      <c r="A676" t="s">
        <v>568</v>
      </c>
      <c r="B676">
        <v>2018</v>
      </c>
      <c r="C676" s="8" t="s">
        <v>568</v>
      </c>
      <c r="D676" t="s">
        <v>580</v>
      </c>
      <c r="E676" s="12">
        <f>((233.2*(176156/177279))+62+9.3)/(233.2+62+9.3)</f>
        <v>0.99514863766502182</v>
      </c>
      <c r="F676" s="7"/>
      <c r="G676" s="7"/>
      <c r="H676" s="12">
        <f>((233.2*(475/177279)))/(233.2+62+9.3)</f>
        <v>2.0520009876354665E-3</v>
      </c>
      <c r="I676" t="s">
        <v>572</v>
      </c>
      <c r="J676" t="s">
        <v>576</v>
      </c>
      <c r="K676" s="6">
        <f t="shared" si="10"/>
        <v>0.99720063865265729</v>
      </c>
    </row>
    <row r="677" spans="1:11" x14ac:dyDescent="0.2">
      <c r="A677" t="s">
        <v>568</v>
      </c>
      <c r="B677">
        <v>2018</v>
      </c>
      <c r="C677" t="s">
        <v>580</v>
      </c>
      <c r="D677" t="s">
        <v>580</v>
      </c>
      <c r="E677" s="12">
        <f>((233.2*(176156/177279))+62+9.3)/(233.2+62+9.3)</f>
        <v>0.99514863766502182</v>
      </c>
      <c r="F677" s="7"/>
      <c r="G677" s="7"/>
      <c r="H677" s="12">
        <f>((233.2*(475/177279)))/(233.2+62+9.3)</f>
        <v>2.0520009876354665E-3</v>
      </c>
      <c r="I677" t="s">
        <v>572</v>
      </c>
      <c r="J677" t="s">
        <v>576</v>
      </c>
      <c r="K677" s="6">
        <f t="shared" si="10"/>
        <v>0.99720063865265729</v>
      </c>
    </row>
    <row r="678" spans="1:11" x14ac:dyDescent="0.2">
      <c r="A678" t="s">
        <v>568</v>
      </c>
      <c r="B678">
        <v>2019</v>
      </c>
      <c r="C678" t="s">
        <v>580</v>
      </c>
      <c r="D678" t="s">
        <v>580</v>
      </c>
      <c r="E678" s="7">
        <f>((279.1*(176156/177279))+121.7+23.9)/(279.1+121.7+23.9)</f>
        <v>0.99583706108325132</v>
      </c>
      <c r="F678" s="7"/>
      <c r="G678" s="7"/>
      <c r="H678" s="7">
        <f>((279.1*(745/177279)))/(279.1+121.7+23.9)</f>
        <v>2.7617003499356236E-3</v>
      </c>
      <c r="I678" t="s">
        <v>572</v>
      </c>
      <c r="J678" t="s">
        <v>577</v>
      </c>
      <c r="K678" s="6">
        <f t="shared" si="10"/>
        <v>0.99859876143318693</v>
      </c>
    </row>
    <row r="679" spans="1:11" x14ac:dyDescent="0.2">
      <c r="A679" t="s">
        <v>568</v>
      </c>
      <c r="B679">
        <v>2012</v>
      </c>
      <c r="C679" t="s">
        <v>582</v>
      </c>
      <c r="D679" t="s">
        <v>582</v>
      </c>
      <c r="E679" s="7">
        <f>((95186*(157752/158881))+188620)/(95186+10206+150747+188620+36760)</f>
        <v>0.58799260944650844</v>
      </c>
      <c r="F679" s="7"/>
      <c r="G679" s="7"/>
      <c r="H679" s="7">
        <f>((95186*(496/158881)))/(95186+10206+150747+188620+36760)</f>
        <v>6.1711962885849182E-4</v>
      </c>
      <c r="I679" t="s">
        <v>583</v>
      </c>
      <c r="J679" t="s">
        <v>584</v>
      </c>
      <c r="K679" s="6">
        <f t="shared" si="10"/>
        <v>0.58860972907536691</v>
      </c>
    </row>
    <row r="680" spans="1:11" x14ac:dyDescent="0.2">
      <c r="A680" t="s">
        <v>568</v>
      </c>
      <c r="B680">
        <v>2015</v>
      </c>
      <c r="C680" t="s">
        <v>585</v>
      </c>
      <c r="D680" t="s">
        <v>585</v>
      </c>
      <c r="E680" s="7">
        <f>((316.5*(178768/(179822)))+233.2)/(316.5+233.2+1.5)</f>
        <v>0.99391306633027621</v>
      </c>
      <c r="F680" s="7"/>
      <c r="G680" s="7"/>
      <c r="H680" s="7">
        <f>((316.5*(470/(179822))))/(316.5+233.2+1.5)</f>
        <v>1.5007886608849237E-3</v>
      </c>
      <c r="I680" t="s">
        <v>586</v>
      </c>
      <c r="J680" t="s">
        <v>587</v>
      </c>
      <c r="K680" s="6">
        <f t="shared" si="10"/>
        <v>0.99541385499116108</v>
      </c>
    </row>
    <row r="681" spans="1:11" x14ac:dyDescent="0.2">
      <c r="A681" t="s">
        <v>568</v>
      </c>
      <c r="B681">
        <v>2016</v>
      </c>
      <c r="C681" t="s">
        <v>585</v>
      </c>
      <c r="D681" t="s">
        <v>585</v>
      </c>
      <c r="E681" s="7">
        <f>((217*(179271/(180322)))+264.2)/(217+264.2+0.5)</f>
        <v>0.99633635801424281</v>
      </c>
      <c r="F681" s="7"/>
      <c r="G681" s="7"/>
      <c r="H681" s="7">
        <f>((217*(470/(180322))))/(217+264.2+0.5)</f>
        <v>1.1741733792355496E-3</v>
      </c>
      <c r="I681" t="s">
        <v>586</v>
      </c>
      <c r="J681" t="s">
        <v>581</v>
      </c>
      <c r="K681" s="6">
        <f t="shared" si="10"/>
        <v>0.99751053139347834</v>
      </c>
    </row>
    <row r="682" spans="1:11" x14ac:dyDescent="0.2">
      <c r="A682" s="8" t="s">
        <v>568</v>
      </c>
      <c r="B682">
        <v>2017</v>
      </c>
      <c r="C682" s="8" t="s">
        <v>568</v>
      </c>
      <c r="D682" t="s">
        <v>585</v>
      </c>
      <c r="E682" s="12">
        <f>((246.7*(174396/175447))+259.9)/(246.7+259.9+2.2)</f>
        <v>0.99277155090073077</v>
      </c>
      <c r="F682" s="7"/>
      <c r="G682" s="7"/>
      <c r="H682" s="12">
        <f>((246.7*(470/175447)))/(246.7+259.9+2.2)</f>
        <v>1.2988947404891005E-3</v>
      </c>
      <c r="I682" t="s">
        <v>586</v>
      </c>
      <c r="J682" t="s">
        <v>575</v>
      </c>
      <c r="K682" s="6">
        <f t="shared" si="10"/>
        <v>0.99407044564121982</v>
      </c>
    </row>
    <row r="683" spans="1:11" x14ac:dyDescent="0.2">
      <c r="A683" s="8" t="s">
        <v>568</v>
      </c>
      <c r="B683">
        <v>2018</v>
      </c>
      <c r="C683" s="8" t="s">
        <v>568</v>
      </c>
      <c r="D683" t="s">
        <v>585</v>
      </c>
      <c r="E683" s="12">
        <f>((233.2*(176156/177279))+62+9.3)/(233.2+62+9.3)</f>
        <v>0.99514863766502182</v>
      </c>
      <c r="F683" s="7"/>
      <c r="G683" s="7"/>
      <c r="H683" s="12">
        <f>((233.2*(475/177279)))/(233.2+62+9.3)</f>
        <v>2.0520009876354665E-3</v>
      </c>
      <c r="I683" t="s">
        <v>572</v>
      </c>
      <c r="J683" t="s">
        <v>576</v>
      </c>
      <c r="K683" s="6">
        <f t="shared" si="10"/>
        <v>0.99720063865265729</v>
      </c>
    </row>
    <row r="684" spans="1:11" x14ac:dyDescent="0.2">
      <c r="A684" t="s">
        <v>568</v>
      </c>
      <c r="B684">
        <v>2018</v>
      </c>
      <c r="C684" s="8" t="s">
        <v>568</v>
      </c>
      <c r="D684" t="s">
        <v>585</v>
      </c>
      <c r="E684" s="12">
        <f>((233.2*(176156/177279))+62+9.3)/(233.2+62+9.3)</f>
        <v>0.99514863766502182</v>
      </c>
      <c r="F684" s="7"/>
      <c r="G684" s="7"/>
      <c r="H684" s="12">
        <f>((233.2*(475/177279)))/(233.2+62+9.3)</f>
        <v>2.0520009876354665E-3</v>
      </c>
      <c r="I684" t="s">
        <v>572</v>
      </c>
      <c r="J684" t="s">
        <v>576</v>
      </c>
      <c r="K684" s="6">
        <f t="shared" si="10"/>
        <v>0.99720063865265729</v>
      </c>
    </row>
    <row r="685" spans="1:11" x14ac:dyDescent="0.2">
      <c r="A685" t="s">
        <v>568</v>
      </c>
      <c r="B685">
        <v>2018</v>
      </c>
      <c r="C685" t="s">
        <v>585</v>
      </c>
      <c r="D685" t="s">
        <v>585</v>
      </c>
      <c r="E685" s="12">
        <f>((233.2*(176156/177279))+62+9.3)/(233.2+62+9.3)</f>
        <v>0.99514863766502182</v>
      </c>
      <c r="F685" s="7"/>
      <c r="G685" s="7"/>
      <c r="H685" s="12">
        <f>((233.2*(475/177279)))/(233.2+62+9.3)</f>
        <v>2.0520009876354665E-3</v>
      </c>
      <c r="I685" t="s">
        <v>572</v>
      </c>
      <c r="J685" t="s">
        <v>576</v>
      </c>
      <c r="K685" s="6">
        <f t="shared" si="10"/>
        <v>0.99720063865265729</v>
      </c>
    </row>
    <row r="686" spans="1:11" x14ac:dyDescent="0.2">
      <c r="A686" t="s">
        <v>568</v>
      </c>
      <c r="B686">
        <v>2019</v>
      </c>
      <c r="C686" t="s">
        <v>585</v>
      </c>
      <c r="D686" t="s">
        <v>585</v>
      </c>
      <c r="E686" s="7">
        <f>((279.1*(176156/177279))+121.7+23.9)/(279.1+121.7+23.9)</f>
        <v>0.99583706108325132</v>
      </c>
      <c r="F686" s="7"/>
      <c r="G686" s="7"/>
      <c r="H686" s="7">
        <f>((279.1*(745/177279)))/(279.1+121.7+23.9)</f>
        <v>2.7617003499356236E-3</v>
      </c>
      <c r="I686" t="s">
        <v>572</v>
      </c>
      <c r="J686" t="s">
        <v>577</v>
      </c>
      <c r="K686" s="6">
        <f t="shared" si="10"/>
        <v>0.99859876143318693</v>
      </c>
    </row>
    <row r="687" spans="1:11" x14ac:dyDescent="0.2">
      <c r="A687" t="s">
        <v>568</v>
      </c>
      <c r="B687">
        <v>2011</v>
      </c>
      <c r="C687" t="s">
        <v>569</v>
      </c>
      <c r="D687" t="s">
        <v>588</v>
      </c>
      <c r="E687" s="7">
        <f>((88849*(157045/158174))+245641)/(88849+22681+25755+245641+85030)</f>
        <v>0.71343421536151985</v>
      </c>
      <c r="F687" s="7"/>
      <c r="G687" s="7"/>
      <c r="H687" s="7">
        <f>((88849*(496/158174)))/(88849+22681+25755+245641+85030)</f>
        <v>5.9537980999107025E-4</v>
      </c>
      <c r="I687" t="s">
        <v>589</v>
      </c>
      <c r="J687" t="s">
        <v>590</v>
      </c>
      <c r="K687" s="6">
        <f t="shared" si="10"/>
        <v>0.71402959517151088</v>
      </c>
    </row>
    <row r="688" spans="1:11" x14ac:dyDescent="0.2">
      <c r="A688" t="s">
        <v>568</v>
      </c>
      <c r="B688">
        <v>2015</v>
      </c>
      <c r="C688" t="s">
        <v>569</v>
      </c>
      <c r="D688" t="s">
        <v>588</v>
      </c>
      <c r="E688" s="7">
        <f>((316.5*(178768/(179822)))+233.2)/(316.5+233.2+1.5)</f>
        <v>0.99391306633027621</v>
      </c>
      <c r="F688" s="7"/>
      <c r="G688" s="7"/>
      <c r="H688" s="7">
        <f>((316.5*(470/(179822))))/(316.5+233.2+1.5)</f>
        <v>1.5007886608849237E-3</v>
      </c>
      <c r="I688" t="s">
        <v>591</v>
      </c>
      <c r="J688" t="s">
        <v>592</v>
      </c>
      <c r="K688" s="6">
        <f t="shared" si="10"/>
        <v>0.99541385499116108</v>
      </c>
    </row>
    <row r="689" spans="1:11" x14ac:dyDescent="0.2">
      <c r="A689" s="8" t="s">
        <v>568</v>
      </c>
      <c r="B689">
        <v>2018</v>
      </c>
      <c r="C689" s="8" t="s">
        <v>568</v>
      </c>
      <c r="D689" t="s">
        <v>593</v>
      </c>
      <c r="E689" s="12">
        <f>((233.2*(176156/177279))+62+9.3)/(233.2+62+9.3)</f>
        <v>0.99514863766502182</v>
      </c>
      <c r="F689" s="7"/>
      <c r="G689" s="7"/>
      <c r="H689" s="12">
        <f>((233.2*(475/177279)))/(233.2+62+9.3)</f>
        <v>2.0520009876354665E-3</v>
      </c>
      <c r="I689" t="s">
        <v>572</v>
      </c>
      <c r="J689" t="s">
        <v>576</v>
      </c>
      <c r="K689" s="6">
        <f t="shared" si="10"/>
        <v>0.99720063865265729</v>
      </c>
    </row>
    <row r="690" spans="1:11" x14ac:dyDescent="0.2">
      <c r="A690" t="s">
        <v>568</v>
      </c>
      <c r="B690">
        <v>2018</v>
      </c>
      <c r="C690" s="8" t="s">
        <v>568</v>
      </c>
      <c r="D690" t="s">
        <v>593</v>
      </c>
      <c r="E690" s="12">
        <f>((233.2*(176156/177279))+62+9.3)/(233.2+62+9.3)</f>
        <v>0.99514863766502182</v>
      </c>
      <c r="F690" s="7"/>
      <c r="G690" s="7"/>
      <c r="H690" s="12">
        <f>((233.2*(475/177279)))/(233.2+62+9.3)</f>
        <v>2.0520009876354665E-3</v>
      </c>
      <c r="I690" t="s">
        <v>572</v>
      </c>
      <c r="J690" t="s">
        <v>576</v>
      </c>
      <c r="K690" s="6">
        <f t="shared" si="10"/>
        <v>0.99720063865265729</v>
      </c>
    </row>
    <row r="691" spans="1:11" x14ac:dyDescent="0.2">
      <c r="A691" s="8" t="s">
        <v>568</v>
      </c>
      <c r="B691">
        <v>2018</v>
      </c>
      <c r="C691" s="8" t="s">
        <v>568</v>
      </c>
      <c r="D691" t="s">
        <v>594</v>
      </c>
      <c r="E691" s="12">
        <f>((233.2*(176156/177279))+62+9.3)/(233.2+62+9.3)</f>
        <v>0.99514863766502182</v>
      </c>
      <c r="F691" s="7"/>
      <c r="G691" s="7"/>
      <c r="H691" s="12">
        <f>((233.2*(475/177279)))/(233.2+62+9.3)</f>
        <v>2.0520009876354665E-3</v>
      </c>
      <c r="I691" t="s">
        <v>572</v>
      </c>
      <c r="J691" t="s">
        <v>576</v>
      </c>
      <c r="K691" s="6">
        <f t="shared" si="10"/>
        <v>0.99720063865265729</v>
      </c>
    </row>
    <row r="692" spans="1:11" x14ac:dyDescent="0.2">
      <c r="A692" t="s">
        <v>568</v>
      </c>
      <c r="B692">
        <v>2018</v>
      </c>
      <c r="C692" s="8" t="s">
        <v>568</v>
      </c>
      <c r="D692" t="s">
        <v>594</v>
      </c>
      <c r="E692" s="12">
        <f>((233.2*(176156/177279))+62+9.3)/(233.2+62+9.3)</f>
        <v>0.99514863766502182</v>
      </c>
      <c r="F692" s="7"/>
      <c r="G692" s="7"/>
      <c r="H692" s="12">
        <f>((233.2*(475/177279)))/(233.2+62+9.3)</f>
        <v>2.0520009876354665E-3</v>
      </c>
      <c r="I692" t="s">
        <v>572</v>
      </c>
      <c r="J692" t="s">
        <v>576</v>
      </c>
      <c r="K692" s="6">
        <f t="shared" si="10"/>
        <v>0.99720063865265729</v>
      </c>
    </row>
    <row r="693" spans="1:11" x14ac:dyDescent="0.2">
      <c r="A693" t="s">
        <v>568</v>
      </c>
      <c r="B693">
        <v>2010</v>
      </c>
      <c r="C693" t="s">
        <v>568</v>
      </c>
      <c r="D693" t="s">
        <v>595</v>
      </c>
      <c r="E693" s="11">
        <v>1</v>
      </c>
      <c r="I693" s="5" t="s">
        <v>596</v>
      </c>
      <c r="J693" t="s">
        <v>597</v>
      </c>
      <c r="K693" s="6">
        <f t="shared" si="10"/>
        <v>1</v>
      </c>
    </row>
    <row r="694" spans="1:11" x14ac:dyDescent="0.2">
      <c r="A694" t="s">
        <v>568</v>
      </c>
      <c r="B694">
        <v>2013</v>
      </c>
      <c r="C694" t="s">
        <v>568</v>
      </c>
      <c r="D694" t="s">
        <v>595</v>
      </c>
      <c r="E694" s="11">
        <v>1</v>
      </c>
      <c r="I694" s="5" t="s">
        <v>596</v>
      </c>
      <c r="J694" t="s">
        <v>597</v>
      </c>
      <c r="K694" s="6">
        <f t="shared" si="10"/>
        <v>1</v>
      </c>
    </row>
    <row r="695" spans="1:11" x14ac:dyDescent="0.2">
      <c r="A695" t="s">
        <v>598</v>
      </c>
      <c r="B695">
        <v>2010</v>
      </c>
      <c r="C695" t="s">
        <v>599</v>
      </c>
      <c r="D695" t="s">
        <v>599</v>
      </c>
      <c r="E695" s="5">
        <f>(703*0.75)/(703+882+298)</f>
        <v>0.28000531067445567</v>
      </c>
      <c r="I695" t="s">
        <v>600</v>
      </c>
      <c r="J695" t="s">
        <v>601</v>
      </c>
      <c r="K695" s="6">
        <f t="shared" si="10"/>
        <v>0.28000531067445567</v>
      </c>
    </row>
    <row r="696" spans="1:11" x14ac:dyDescent="0.2">
      <c r="A696" t="s">
        <v>598</v>
      </c>
      <c r="B696">
        <v>2011</v>
      </c>
      <c r="C696" t="s">
        <v>602</v>
      </c>
      <c r="D696" t="s">
        <v>599</v>
      </c>
      <c r="E696" s="5">
        <f>(703*0.75)/(703+882+298)</f>
        <v>0.28000531067445567</v>
      </c>
      <c r="I696" t="s">
        <v>600</v>
      </c>
      <c r="J696" t="s">
        <v>601</v>
      </c>
      <c r="K696" s="6">
        <f t="shared" si="10"/>
        <v>0.28000531067445567</v>
      </c>
    </row>
    <row r="697" spans="1:11" x14ac:dyDescent="0.2">
      <c r="A697" t="s">
        <v>598</v>
      </c>
      <c r="B697">
        <v>2013</v>
      </c>
      <c r="C697" t="s">
        <v>599</v>
      </c>
      <c r="D697" t="s">
        <v>599</v>
      </c>
      <c r="E697" s="5">
        <f>(703*0.75)/(703+882+298)</f>
        <v>0.28000531067445567</v>
      </c>
      <c r="I697" t="s">
        <v>603</v>
      </c>
      <c r="J697" t="s">
        <v>601</v>
      </c>
      <c r="K697" s="6">
        <f t="shared" si="10"/>
        <v>0.28000531067445567</v>
      </c>
    </row>
    <row r="698" spans="1:11" x14ac:dyDescent="0.2">
      <c r="A698" t="s">
        <v>598</v>
      </c>
      <c r="B698">
        <v>2014</v>
      </c>
      <c r="C698" t="s">
        <v>599</v>
      </c>
      <c r="D698" t="s">
        <v>599</v>
      </c>
      <c r="E698" s="5">
        <f>(773*0.75)/(773+945+297)</f>
        <v>0.28771712158808932</v>
      </c>
      <c r="I698" t="s">
        <v>603</v>
      </c>
      <c r="J698" t="s">
        <v>601</v>
      </c>
      <c r="K698" s="6">
        <f t="shared" si="10"/>
        <v>0.28771712158808932</v>
      </c>
    </row>
    <row r="699" spans="1:11" x14ac:dyDescent="0.2">
      <c r="A699" t="s">
        <v>598</v>
      </c>
      <c r="B699">
        <v>2015</v>
      </c>
      <c r="C699" t="s">
        <v>599</v>
      </c>
      <c r="D699" t="s">
        <v>599</v>
      </c>
      <c r="E699" s="5">
        <f>(816*0.75)/(816+1020+309)</f>
        <v>0.28531468531468529</v>
      </c>
      <c r="I699" t="s">
        <v>603</v>
      </c>
      <c r="J699" t="s">
        <v>604</v>
      </c>
      <c r="K699" s="6">
        <f t="shared" si="10"/>
        <v>0.28531468531468529</v>
      </c>
    </row>
    <row r="700" spans="1:11" x14ac:dyDescent="0.2">
      <c r="A700" t="s">
        <v>598</v>
      </c>
      <c r="B700">
        <v>2018</v>
      </c>
      <c r="C700" t="s">
        <v>605</v>
      </c>
      <c r="D700" t="s">
        <v>605</v>
      </c>
      <c r="E700" s="7">
        <f>(109.7*0.75)/(300.8)</f>
        <v>0.27352061170212766</v>
      </c>
      <c r="F700" s="7"/>
      <c r="G700" s="7"/>
      <c r="H700" s="7"/>
      <c r="I700" t="s">
        <v>603</v>
      </c>
      <c r="J700" t="s">
        <v>606</v>
      </c>
      <c r="K700" s="6">
        <f t="shared" si="10"/>
        <v>0.27352061170212766</v>
      </c>
    </row>
    <row r="701" spans="1:11" x14ac:dyDescent="0.2">
      <c r="A701" t="s">
        <v>598</v>
      </c>
      <c r="B701">
        <v>2018</v>
      </c>
      <c r="C701" t="s">
        <v>605</v>
      </c>
      <c r="D701" t="s">
        <v>605</v>
      </c>
      <c r="E701" s="7">
        <f>(109.7*0.75)/(300.8)</f>
        <v>0.27352061170212766</v>
      </c>
      <c r="F701" s="7"/>
      <c r="G701" s="7"/>
      <c r="H701" s="7"/>
      <c r="I701" t="s">
        <v>603</v>
      </c>
      <c r="J701" t="s">
        <v>606</v>
      </c>
      <c r="K701" s="6">
        <f t="shared" si="10"/>
        <v>0.27352061170212766</v>
      </c>
    </row>
    <row r="702" spans="1:11" x14ac:dyDescent="0.2">
      <c r="A702" t="s">
        <v>598</v>
      </c>
      <c r="B702">
        <v>2018</v>
      </c>
      <c r="C702" t="s">
        <v>607</v>
      </c>
      <c r="D702" t="s">
        <v>607</v>
      </c>
      <c r="E702" s="7">
        <f>(109.7*0.75)/(300.8)</f>
        <v>0.27352061170212766</v>
      </c>
      <c r="F702" s="7"/>
      <c r="G702" s="7"/>
      <c r="H702" s="7"/>
      <c r="I702" t="s">
        <v>603</v>
      </c>
      <c r="J702" t="s">
        <v>606</v>
      </c>
      <c r="K702" s="6">
        <f t="shared" si="10"/>
        <v>0.27352061170212766</v>
      </c>
    </row>
    <row r="703" spans="1:11" x14ac:dyDescent="0.2">
      <c r="A703" t="s">
        <v>598</v>
      </c>
      <c r="B703">
        <v>2018</v>
      </c>
      <c r="C703" t="s">
        <v>607</v>
      </c>
      <c r="D703" t="s">
        <v>607</v>
      </c>
      <c r="E703" s="7">
        <f>(109.7*0.75)/(300.8)</f>
        <v>0.27352061170212766</v>
      </c>
      <c r="F703" s="7"/>
      <c r="G703" s="7"/>
      <c r="H703" s="7"/>
      <c r="I703" t="s">
        <v>603</v>
      </c>
      <c r="J703" t="s">
        <v>606</v>
      </c>
      <c r="K703" s="6">
        <f t="shared" si="10"/>
        <v>0.27352061170212766</v>
      </c>
    </row>
    <row r="704" spans="1:11" x14ac:dyDescent="0.2">
      <c r="A704" t="s">
        <v>598</v>
      </c>
      <c r="B704">
        <v>2015</v>
      </c>
      <c r="C704" t="s">
        <v>602</v>
      </c>
      <c r="D704" t="s">
        <v>608</v>
      </c>
      <c r="E704" s="7">
        <f>(816*0.75)/(816+1020+309)</f>
        <v>0.28531468531468529</v>
      </c>
      <c r="F704" s="7"/>
      <c r="G704" s="7"/>
      <c r="H704" s="7"/>
      <c r="I704" t="s">
        <v>603</v>
      </c>
      <c r="J704" t="s">
        <v>604</v>
      </c>
      <c r="K704" s="6">
        <f t="shared" si="10"/>
        <v>0.28531468531468529</v>
      </c>
    </row>
    <row r="705" spans="1:11" x14ac:dyDescent="0.2">
      <c r="A705" t="s">
        <v>598</v>
      </c>
      <c r="B705">
        <v>2019</v>
      </c>
      <c r="C705" t="s">
        <v>602</v>
      </c>
      <c r="D705" t="s">
        <v>608</v>
      </c>
      <c r="E705" s="7">
        <f>(113.9*0.75)/(430.8)</f>
        <v>0.1982938718662953</v>
      </c>
      <c r="F705" s="7"/>
      <c r="G705" s="7"/>
      <c r="H705" s="7"/>
      <c r="I705" t="s">
        <v>603</v>
      </c>
      <c r="J705" t="s">
        <v>606</v>
      </c>
      <c r="K705" s="6">
        <f t="shared" si="10"/>
        <v>0.1982938718662953</v>
      </c>
    </row>
    <row r="706" spans="1:11" x14ac:dyDescent="0.2">
      <c r="A706" t="s">
        <v>598</v>
      </c>
      <c r="B706">
        <v>2015</v>
      </c>
      <c r="C706" t="s">
        <v>602</v>
      </c>
      <c r="D706" t="s">
        <v>602</v>
      </c>
      <c r="E706" s="7">
        <f>(816*0.75)/(816+1020+309)</f>
        <v>0.28531468531468529</v>
      </c>
      <c r="F706" s="7"/>
      <c r="G706" s="7"/>
      <c r="H706" s="7"/>
      <c r="I706" t="s">
        <v>603</v>
      </c>
      <c r="J706" t="s">
        <v>604</v>
      </c>
      <c r="K706" s="6">
        <f t="shared" ref="K706:K769" si="11">SUM(E706:H706)</f>
        <v>0.28531468531468529</v>
      </c>
    </row>
    <row r="707" spans="1:11" x14ac:dyDescent="0.2">
      <c r="A707" t="s">
        <v>598</v>
      </c>
      <c r="B707">
        <v>2016</v>
      </c>
      <c r="C707" t="s">
        <v>602</v>
      </c>
      <c r="D707" t="s">
        <v>602</v>
      </c>
      <c r="E707" s="7">
        <f>(1088*0.75)/(1088+1382+405)</f>
        <v>0.28382608695652173</v>
      </c>
      <c r="F707" s="7"/>
      <c r="G707" s="7"/>
      <c r="H707" s="7"/>
      <c r="I707" t="s">
        <v>603</v>
      </c>
      <c r="J707" t="s">
        <v>604</v>
      </c>
      <c r="K707" s="6">
        <f t="shared" si="11"/>
        <v>0.28382608695652173</v>
      </c>
    </row>
    <row r="708" spans="1:11" x14ac:dyDescent="0.2">
      <c r="A708" t="s">
        <v>598</v>
      </c>
      <c r="B708">
        <v>2017</v>
      </c>
      <c r="C708" t="s">
        <v>602</v>
      </c>
      <c r="D708" t="s">
        <v>602</v>
      </c>
      <c r="E708" s="7">
        <f>(117*0.75)/(307.6)</f>
        <v>0.28527308192457734</v>
      </c>
      <c r="F708" s="7"/>
      <c r="G708" s="7"/>
      <c r="H708" s="7"/>
      <c r="I708" t="s">
        <v>603</v>
      </c>
      <c r="J708" t="s">
        <v>609</v>
      </c>
      <c r="K708" s="6">
        <f t="shared" si="11"/>
        <v>0.28527308192457734</v>
      </c>
    </row>
    <row r="709" spans="1:11" x14ac:dyDescent="0.2">
      <c r="A709" s="8" t="s">
        <v>598</v>
      </c>
      <c r="B709">
        <v>2018</v>
      </c>
      <c r="C709" s="8" t="s">
        <v>610</v>
      </c>
      <c r="D709" t="s">
        <v>602</v>
      </c>
      <c r="E709" s="7">
        <f>(109.7*0.75)/(300.8)</f>
        <v>0.27352061170212766</v>
      </c>
      <c r="F709" s="7"/>
      <c r="G709" s="7"/>
      <c r="H709" s="7"/>
      <c r="I709" t="s">
        <v>603</v>
      </c>
      <c r="J709" t="s">
        <v>606</v>
      </c>
      <c r="K709" s="6">
        <f t="shared" si="11"/>
        <v>0.27352061170212766</v>
      </c>
    </row>
    <row r="710" spans="1:11" x14ac:dyDescent="0.2">
      <c r="A710" t="s">
        <v>598</v>
      </c>
      <c r="B710">
        <v>2018</v>
      </c>
      <c r="C710" s="8" t="s">
        <v>610</v>
      </c>
      <c r="D710" t="s">
        <v>602</v>
      </c>
      <c r="E710" s="7">
        <f>(109.7*0.75)/(300.8)</f>
        <v>0.27352061170212766</v>
      </c>
      <c r="F710" s="7"/>
      <c r="G710" s="7"/>
      <c r="H710" s="7"/>
      <c r="I710" t="s">
        <v>603</v>
      </c>
      <c r="J710" t="s">
        <v>606</v>
      </c>
      <c r="K710" s="6">
        <f t="shared" si="11"/>
        <v>0.27352061170212766</v>
      </c>
    </row>
    <row r="711" spans="1:11" x14ac:dyDescent="0.2">
      <c r="A711" t="s">
        <v>598</v>
      </c>
      <c r="B711">
        <v>2018</v>
      </c>
      <c r="C711" t="s">
        <v>611</v>
      </c>
      <c r="D711" t="s">
        <v>611</v>
      </c>
      <c r="E711" s="7">
        <f>(109.7*0.75)/(300.8)</f>
        <v>0.27352061170212766</v>
      </c>
      <c r="F711" s="7"/>
      <c r="G711" s="7"/>
      <c r="H711" s="7"/>
      <c r="I711" t="s">
        <v>603</v>
      </c>
      <c r="J711" t="s">
        <v>606</v>
      </c>
      <c r="K711" s="6">
        <f t="shared" si="11"/>
        <v>0.27352061170212766</v>
      </c>
    </row>
    <row r="712" spans="1:11" x14ac:dyDescent="0.2">
      <c r="A712" t="s">
        <v>598</v>
      </c>
      <c r="B712">
        <v>2019</v>
      </c>
      <c r="C712" t="s">
        <v>602</v>
      </c>
      <c r="D712" t="s">
        <v>602</v>
      </c>
      <c r="E712" s="7">
        <f>(113.9*0.75)/(430.8)</f>
        <v>0.1982938718662953</v>
      </c>
      <c r="F712" s="7"/>
      <c r="G712" s="7"/>
      <c r="H712" s="7"/>
      <c r="I712" t="s">
        <v>603</v>
      </c>
      <c r="J712" t="s">
        <v>606</v>
      </c>
      <c r="K712" s="6">
        <f t="shared" si="11"/>
        <v>0.1982938718662953</v>
      </c>
    </row>
    <row r="713" spans="1:11" x14ac:dyDescent="0.2">
      <c r="A713" s="8" t="s">
        <v>598</v>
      </c>
      <c r="B713">
        <v>2018</v>
      </c>
      <c r="C713" s="8" t="s">
        <v>610</v>
      </c>
      <c r="D713" t="s">
        <v>612</v>
      </c>
      <c r="E713" s="7">
        <f>(117*0.75)/(307.6)</f>
        <v>0.28527308192457734</v>
      </c>
      <c r="F713" s="7"/>
      <c r="G713" s="7"/>
      <c r="H713" s="7"/>
      <c r="I713" t="s">
        <v>603</v>
      </c>
      <c r="J713" t="s">
        <v>609</v>
      </c>
      <c r="K713" s="6">
        <f t="shared" si="11"/>
        <v>0.28527308192457734</v>
      </c>
    </row>
    <row r="714" spans="1:11" x14ac:dyDescent="0.2">
      <c r="A714" t="s">
        <v>598</v>
      </c>
      <c r="B714">
        <v>2018</v>
      </c>
      <c r="C714" t="s">
        <v>612</v>
      </c>
      <c r="D714" t="s">
        <v>612</v>
      </c>
      <c r="E714" s="7">
        <f>(109.7*0.75)/(300.8)</f>
        <v>0.27352061170212766</v>
      </c>
      <c r="F714" s="7"/>
      <c r="G714" s="7"/>
      <c r="H714" s="7"/>
      <c r="I714" t="s">
        <v>603</v>
      </c>
      <c r="J714" t="s">
        <v>606</v>
      </c>
      <c r="K714" s="6">
        <f t="shared" si="11"/>
        <v>0.27352061170212766</v>
      </c>
    </row>
    <row r="715" spans="1:11" x14ac:dyDescent="0.2">
      <c r="A715" t="s">
        <v>598</v>
      </c>
      <c r="B715">
        <v>2019</v>
      </c>
      <c r="C715" t="s">
        <v>612</v>
      </c>
      <c r="D715" t="s">
        <v>612</v>
      </c>
      <c r="E715" s="7">
        <f>(113.9*0.75)/(430.8)</f>
        <v>0.1982938718662953</v>
      </c>
      <c r="F715" s="7"/>
      <c r="G715" s="7"/>
      <c r="H715" s="7"/>
      <c r="I715" t="s">
        <v>603</v>
      </c>
      <c r="J715" t="s">
        <v>606</v>
      </c>
      <c r="K715" s="6">
        <f t="shared" si="11"/>
        <v>0.1982938718662953</v>
      </c>
    </row>
    <row r="716" spans="1:11" x14ac:dyDescent="0.2">
      <c r="A716" t="s">
        <v>598</v>
      </c>
      <c r="B716">
        <v>2010</v>
      </c>
      <c r="C716" t="s">
        <v>613</v>
      </c>
      <c r="D716" t="s">
        <v>613</v>
      </c>
      <c r="E716" s="5">
        <v>2.3888204503706538E-3</v>
      </c>
      <c r="F716" s="5">
        <f>((727944/5476847)*(50.3/(50.3+59.8)))/4</f>
        <v>1.5180568532617039E-2</v>
      </c>
      <c r="G716" s="5">
        <f>((727944/5476847)*(50.3/(50.3+59.8)))/4</f>
        <v>1.5180568532617039E-2</v>
      </c>
      <c r="H716" s="5">
        <f>((727944/5476847)*(50.3/(50.3+59.8)))/4</f>
        <v>1.5180568532617039E-2</v>
      </c>
      <c r="I716" t="s">
        <v>614</v>
      </c>
      <c r="J716" t="s">
        <v>615</v>
      </c>
      <c r="K716" s="6">
        <f t="shared" si="11"/>
        <v>4.7930526048221775E-2</v>
      </c>
    </row>
    <row r="717" spans="1:11" x14ac:dyDescent="0.2">
      <c r="A717" t="s">
        <v>598</v>
      </c>
      <c r="B717">
        <v>2011</v>
      </c>
      <c r="C717" t="s">
        <v>613</v>
      </c>
      <c r="D717" t="s">
        <v>613</v>
      </c>
      <c r="E717" s="5">
        <f>AVERAGE((E718:E723))</f>
        <v>2.3888204503706538E-3</v>
      </c>
      <c r="F717" s="5">
        <f>((1053665/5676709)*0.5)/4</f>
        <v>2.3201493153867849E-2</v>
      </c>
      <c r="G717" s="5">
        <f>((1053665/5676709)*0.5)/4</f>
        <v>2.3201493153867849E-2</v>
      </c>
      <c r="H717" s="5">
        <f>((1053665/5676709)*0.5)/4</f>
        <v>2.3201493153867849E-2</v>
      </c>
      <c r="I717" t="s">
        <v>616</v>
      </c>
      <c r="J717" t="s">
        <v>617</v>
      </c>
      <c r="K717" s="6">
        <f t="shared" si="11"/>
        <v>7.1993299911974201E-2</v>
      </c>
    </row>
    <row r="718" spans="1:11" x14ac:dyDescent="0.2">
      <c r="A718" t="s">
        <v>598</v>
      </c>
      <c r="B718">
        <v>2012</v>
      </c>
      <c r="C718" t="s">
        <v>613</v>
      </c>
      <c r="D718" t="s">
        <v>613</v>
      </c>
      <c r="E718" s="5">
        <f>(2.3*((703*0.75)/(703+882+298)))/300.5</f>
        <v>2.1431354893552347E-3</v>
      </c>
      <c r="F718" s="5">
        <f>((1188694/6507273)*0.5)/4</f>
        <v>2.2833950565774634E-2</v>
      </c>
      <c r="G718" s="5">
        <f>((1188694/6507273)*0.5)/4</f>
        <v>2.2833950565774634E-2</v>
      </c>
      <c r="H718" s="5">
        <f>((1188694/6507273)*0.5)/4</f>
        <v>2.2833950565774634E-2</v>
      </c>
      <c r="I718" t="s">
        <v>618</v>
      </c>
      <c r="J718" t="s">
        <v>619</v>
      </c>
      <c r="K718" s="6">
        <f t="shared" si="11"/>
        <v>7.0644987186679137E-2</v>
      </c>
    </row>
    <row r="719" spans="1:11" x14ac:dyDescent="0.2">
      <c r="A719" t="s">
        <v>598</v>
      </c>
      <c r="B719">
        <v>2013</v>
      </c>
      <c r="C719" t="s">
        <v>613</v>
      </c>
      <c r="D719" t="s">
        <v>613</v>
      </c>
      <c r="E719" s="5">
        <f>(2.3*((703*0.75)/(703+882+298)))/280.3</f>
        <v>2.2975819284739491E-3</v>
      </c>
      <c r="F719" s="5">
        <f>((1363449/7117446)*0.5)/4</f>
        <v>2.3945545213830917E-2</v>
      </c>
      <c r="G719" s="5">
        <f>((1363449/7117446)*0.5)/4</f>
        <v>2.3945545213830917E-2</v>
      </c>
      <c r="H719" s="5">
        <f>((1363449/7117446)*0.5)/4</f>
        <v>2.3945545213830917E-2</v>
      </c>
      <c r="I719" t="s">
        <v>618</v>
      </c>
      <c r="J719" t="s">
        <v>620</v>
      </c>
      <c r="K719" s="6">
        <f t="shared" si="11"/>
        <v>7.4134217569966701E-2</v>
      </c>
    </row>
    <row r="720" spans="1:11" x14ac:dyDescent="0.2">
      <c r="A720" t="s">
        <v>598</v>
      </c>
      <c r="B720">
        <v>2014</v>
      </c>
      <c r="C720" t="s">
        <v>613</v>
      </c>
      <c r="D720" t="s">
        <v>613</v>
      </c>
      <c r="E720" s="5">
        <f>(2.1*((773*0.75)/(773+945+297)))/310.3</f>
        <v>1.9471671135513618E-3</v>
      </c>
      <c r="F720" s="5">
        <f>(((1581.7/7848.4)*0.5)/4)</f>
        <v>2.519144029356302E-2</v>
      </c>
      <c r="G720" s="5">
        <f>(((1581.7/7848.4)*0.5)/4)</f>
        <v>2.519144029356302E-2</v>
      </c>
      <c r="H720" s="5">
        <f>(((1581.7/7848.4)*0.5)/4)</f>
        <v>2.519144029356302E-2</v>
      </c>
      <c r="I720" t="s">
        <v>618</v>
      </c>
      <c r="J720" t="s">
        <v>621</v>
      </c>
      <c r="K720" s="6">
        <f t="shared" si="11"/>
        <v>7.7521487994240426E-2</v>
      </c>
    </row>
    <row r="721" spans="1:13" x14ac:dyDescent="0.2">
      <c r="A721" t="s">
        <v>598</v>
      </c>
      <c r="B721">
        <v>2015</v>
      </c>
      <c r="C721" t="s">
        <v>613</v>
      </c>
      <c r="D721" t="s">
        <v>613</v>
      </c>
      <c r="E721" s="5">
        <f>(2.4*(((816*0.75)/(816+1020+309))))/300.6</f>
        <v>2.2779615593986847E-3</v>
      </c>
      <c r="F721" s="5">
        <f>((1662.3/8560.7)*0.5)/4</f>
        <v>2.4272255773476466E-2</v>
      </c>
      <c r="G721" s="5">
        <f>((1662.3/8560.7)*0.5)/4</f>
        <v>2.4272255773476466E-2</v>
      </c>
      <c r="H721" s="5">
        <f>((1662.3/8560.7)*0.5)/4</f>
        <v>2.4272255773476466E-2</v>
      </c>
      <c r="I721" t="s">
        <v>622</v>
      </c>
      <c r="J721" t="s">
        <v>623</v>
      </c>
      <c r="K721" s="6">
        <f t="shared" si="11"/>
        <v>7.5094728879828085E-2</v>
      </c>
    </row>
    <row r="722" spans="1:13" x14ac:dyDescent="0.2">
      <c r="A722" t="s">
        <v>598</v>
      </c>
      <c r="B722">
        <v>2016</v>
      </c>
      <c r="C722" t="s">
        <v>613</v>
      </c>
      <c r="D722" t="s">
        <v>613</v>
      </c>
      <c r="E722" s="5">
        <f>(2.4*((1088*0.75)/(1088+1382+405)))/240.4</f>
        <v>2.8335383057223468E-3</v>
      </c>
      <c r="F722" s="5">
        <f t="shared" ref="F722:H723" si="12">((810.8/8036.4)*0.75)/4</f>
        <v>1.8917052411527548E-2</v>
      </c>
      <c r="G722" s="5">
        <f t="shared" si="12"/>
        <v>1.8917052411527548E-2</v>
      </c>
      <c r="H722" s="5">
        <f t="shared" si="12"/>
        <v>1.8917052411527548E-2</v>
      </c>
      <c r="I722" t="s">
        <v>622</v>
      </c>
      <c r="J722" t="s">
        <v>624</v>
      </c>
      <c r="K722" s="6">
        <f t="shared" si="11"/>
        <v>5.9584695540304988E-2</v>
      </c>
    </row>
    <row r="723" spans="1:13" x14ac:dyDescent="0.2">
      <c r="A723" t="s">
        <v>598</v>
      </c>
      <c r="B723">
        <v>2017</v>
      </c>
      <c r="C723" t="s">
        <v>613</v>
      </c>
      <c r="D723" t="s">
        <v>613</v>
      </c>
      <c r="E723" s="7">
        <f>(2.4*((1088*0.75)/(1088+1382+405)))/240.4</f>
        <v>2.8335383057223468E-3</v>
      </c>
      <c r="F723" s="7">
        <f t="shared" si="12"/>
        <v>1.8917052411527548E-2</v>
      </c>
      <c r="G723" s="7">
        <f t="shared" si="12"/>
        <v>1.8917052411527548E-2</v>
      </c>
      <c r="H723" s="7">
        <f t="shared" si="12"/>
        <v>1.8917052411527548E-2</v>
      </c>
      <c r="I723" t="s">
        <v>622</v>
      </c>
      <c r="J723" t="s">
        <v>624</v>
      </c>
      <c r="K723" s="6">
        <f t="shared" si="11"/>
        <v>5.9584695540304988E-2</v>
      </c>
    </row>
    <row r="724" spans="1:13" x14ac:dyDescent="0.2">
      <c r="A724" s="8" t="s">
        <v>598</v>
      </c>
      <c r="B724">
        <v>2018</v>
      </c>
      <c r="C724" s="8" t="s">
        <v>598</v>
      </c>
      <c r="D724" t="s">
        <v>613</v>
      </c>
      <c r="E724" s="7">
        <f t="shared" ref="E724:E733" si="13">(4.2*((109.7*0.75)/(300.8)))/90.5</f>
        <v>1.2693774244739628E-2</v>
      </c>
      <c r="F724" s="7">
        <f t="shared" ref="F724:H733" si="14">((978.8/8663.9)*0.75)/4</f>
        <v>2.1182723715647687E-2</v>
      </c>
      <c r="G724" s="7">
        <f t="shared" si="14"/>
        <v>2.1182723715647687E-2</v>
      </c>
      <c r="H724" s="7">
        <f t="shared" si="14"/>
        <v>2.1182723715647687E-2</v>
      </c>
      <c r="I724" t="s">
        <v>622</v>
      </c>
      <c r="J724" t="s">
        <v>625</v>
      </c>
      <c r="K724" s="6">
        <f t="shared" si="11"/>
        <v>7.6241945391682692E-2</v>
      </c>
    </row>
    <row r="725" spans="1:13" x14ac:dyDescent="0.2">
      <c r="A725" t="s">
        <v>598</v>
      </c>
      <c r="B725">
        <v>2018</v>
      </c>
      <c r="C725" s="8" t="s">
        <v>598</v>
      </c>
      <c r="D725" t="s">
        <v>613</v>
      </c>
      <c r="E725" s="7">
        <f t="shared" si="13"/>
        <v>1.2693774244739628E-2</v>
      </c>
      <c r="F725" s="7">
        <f t="shared" si="14"/>
        <v>2.1182723715647687E-2</v>
      </c>
      <c r="G725" s="7">
        <f t="shared" si="14"/>
        <v>2.1182723715647687E-2</v>
      </c>
      <c r="H725" s="7">
        <f t="shared" si="14"/>
        <v>2.1182723715647687E-2</v>
      </c>
      <c r="I725" t="s">
        <v>622</v>
      </c>
      <c r="J725" t="s">
        <v>625</v>
      </c>
      <c r="K725" s="6">
        <f t="shared" si="11"/>
        <v>7.6241945391682692E-2</v>
      </c>
    </row>
    <row r="726" spans="1:13" x14ac:dyDescent="0.2">
      <c r="A726" t="s">
        <v>598</v>
      </c>
      <c r="B726">
        <v>2018</v>
      </c>
      <c r="C726" t="s">
        <v>626</v>
      </c>
      <c r="D726" t="s">
        <v>626</v>
      </c>
      <c r="E726" s="7">
        <f t="shared" si="13"/>
        <v>1.2693774244739628E-2</v>
      </c>
      <c r="F726" s="7">
        <f t="shared" si="14"/>
        <v>2.1182723715647687E-2</v>
      </c>
      <c r="G726" s="7">
        <f t="shared" si="14"/>
        <v>2.1182723715647687E-2</v>
      </c>
      <c r="H726" s="7">
        <f t="shared" si="14"/>
        <v>2.1182723715647687E-2</v>
      </c>
      <c r="I726" t="s">
        <v>622</v>
      </c>
      <c r="J726" t="s">
        <v>625</v>
      </c>
      <c r="K726" s="6">
        <f t="shared" si="11"/>
        <v>7.6241945391682692E-2</v>
      </c>
    </row>
    <row r="727" spans="1:13" x14ac:dyDescent="0.2">
      <c r="A727" t="s">
        <v>598</v>
      </c>
      <c r="B727">
        <v>2019</v>
      </c>
      <c r="C727" t="s">
        <v>613</v>
      </c>
      <c r="D727" t="s">
        <v>613</v>
      </c>
      <c r="E727" s="7">
        <f t="shared" si="13"/>
        <v>1.2693774244739628E-2</v>
      </c>
      <c r="F727" s="7">
        <f t="shared" si="14"/>
        <v>2.1182723715647687E-2</v>
      </c>
      <c r="G727" s="7">
        <f t="shared" si="14"/>
        <v>2.1182723715647687E-2</v>
      </c>
      <c r="H727" s="7">
        <f t="shared" si="14"/>
        <v>2.1182723715647687E-2</v>
      </c>
      <c r="I727" t="s">
        <v>622</v>
      </c>
      <c r="J727" t="s">
        <v>625</v>
      </c>
      <c r="K727" s="6">
        <f t="shared" si="11"/>
        <v>7.6241945391682692E-2</v>
      </c>
    </row>
    <row r="728" spans="1:13" x14ac:dyDescent="0.2">
      <c r="A728" s="8" t="s">
        <v>598</v>
      </c>
      <c r="B728">
        <v>2018</v>
      </c>
      <c r="C728" s="8" t="s">
        <v>610</v>
      </c>
      <c r="D728" t="s">
        <v>627</v>
      </c>
      <c r="E728" s="7">
        <f t="shared" si="13"/>
        <v>1.2693774244739628E-2</v>
      </c>
      <c r="F728" s="7">
        <f t="shared" si="14"/>
        <v>2.1182723715647687E-2</v>
      </c>
      <c r="G728" s="7">
        <f t="shared" si="14"/>
        <v>2.1182723715647687E-2</v>
      </c>
      <c r="H728" s="7">
        <f t="shared" si="14"/>
        <v>2.1182723715647687E-2</v>
      </c>
      <c r="I728" t="s">
        <v>622</v>
      </c>
      <c r="J728" t="s">
        <v>625</v>
      </c>
      <c r="K728" s="6">
        <f t="shared" si="11"/>
        <v>7.6241945391682692E-2</v>
      </c>
    </row>
    <row r="729" spans="1:13" x14ac:dyDescent="0.2">
      <c r="A729" t="s">
        <v>598</v>
      </c>
      <c r="B729">
        <v>2018</v>
      </c>
      <c r="C729" t="s">
        <v>627</v>
      </c>
      <c r="D729" t="s">
        <v>627</v>
      </c>
      <c r="E729" s="7">
        <f t="shared" si="13"/>
        <v>1.2693774244739628E-2</v>
      </c>
      <c r="F729" s="7">
        <f t="shared" si="14"/>
        <v>2.1182723715647687E-2</v>
      </c>
      <c r="G729" s="7">
        <f t="shared" si="14"/>
        <v>2.1182723715647687E-2</v>
      </c>
      <c r="H729" s="7">
        <f t="shared" si="14"/>
        <v>2.1182723715647687E-2</v>
      </c>
      <c r="I729" t="s">
        <v>622</v>
      </c>
      <c r="J729" t="s">
        <v>625</v>
      </c>
      <c r="K729" s="6">
        <f t="shared" si="11"/>
        <v>7.6241945391682692E-2</v>
      </c>
    </row>
    <row r="730" spans="1:13" x14ac:dyDescent="0.2">
      <c r="A730" t="s">
        <v>598</v>
      </c>
      <c r="B730">
        <v>2019</v>
      </c>
      <c r="C730" t="s">
        <v>627</v>
      </c>
      <c r="D730" t="s">
        <v>627</v>
      </c>
      <c r="E730" s="7">
        <f t="shared" si="13"/>
        <v>1.2693774244739628E-2</v>
      </c>
      <c r="F730" s="7">
        <f t="shared" si="14"/>
        <v>2.1182723715647687E-2</v>
      </c>
      <c r="G730" s="7">
        <f t="shared" si="14"/>
        <v>2.1182723715647687E-2</v>
      </c>
      <c r="H730" s="7">
        <f t="shared" si="14"/>
        <v>2.1182723715647687E-2</v>
      </c>
      <c r="I730" t="s">
        <v>622</v>
      </c>
      <c r="J730" t="s">
        <v>625</v>
      </c>
      <c r="K730" s="6">
        <f t="shared" si="11"/>
        <v>7.6241945391682692E-2</v>
      </c>
      <c r="M730" t="s">
        <v>69</v>
      </c>
    </row>
    <row r="731" spans="1:13" x14ac:dyDescent="0.2">
      <c r="A731" s="8" t="s">
        <v>598</v>
      </c>
      <c r="B731">
        <v>2018</v>
      </c>
      <c r="C731" s="8" t="s">
        <v>598</v>
      </c>
      <c r="D731" t="s">
        <v>628</v>
      </c>
      <c r="E731" s="7">
        <f t="shared" si="13"/>
        <v>1.2693774244739628E-2</v>
      </c>
      <c r="F731" s="7">
        <f t="shared" si="14"/>
        <v>2.1182723715647687E-2</v>
      </c>
      <c r="G731" s="7">
        <f t="shared" si="14"/>
        <v>2.1182723715647687E-2</v>
      </c>
      <c r="H731" s="7">
        <f t="shared" si="14"/>
        <v>2.1182723715647687E-2</v>
      </c>
      <c r="I731" t="s">
        <v>622</v>
      </c>
      <c r="J731" t="s">
        <v>625</v>
      </c>
      <c r="K731" s="6">
        <f t="shared" si="11"/>
        <v>7.6241945391682692E-2</v>
      </c>
    </row>
    <row r="732" spans="1:13" x14ac:dyDescent="0.2">
      <c r="A732" t="s">
        <v>598</v>
      </c>
      <c r="B732">
        <v>2018</v>
      </c>
      <c r="C732" t="s">
        <v>628</v>
      </c>
      <c r="D732" t="s">
        <v>628</v>
      </c>
      <c r="E732" s="7">
        <f t="shared" si="13"/>
        <v>1.2693774244739628E-2</v>
      </c>
      <c r="F732" s="7">
        <f t="shared" si="14"/>
        <v>2.1182723715647687E-2</v>
      </c>
      <c r="G732" s="7">
        <f t="shared" si="14"/>
        <v>2.1182723715647687E-2</v>
      </c>
      <c r="H732" s="7">
        <f t="shared" si="14"/>
        <v>2.1182723715647687E-2</v>
      </c>
      <c r="I732" t="s">
        <v>622</v>
      </c>
      <c r="J732" t="s">
        <v>625</v>
      </c>
      <c r="K732" s="6">
        <f t="shared" si="11"/>
        <v>7.6241945391682692E-2</v>
      </c>
    </row>
    <row r="733" spans="1:13" x14ac:dyDescent="0.2">
      <c r="A733" t="s">
        <v>598</v>
      </c>
      <c r="B733">
        <v>2019</v>
      </c>
      <c r="C733" t="s">
        <v>628</v>
      </c>
      <c r="D733" t="s">
        <v>628</v>
      </c>
      <c r="E733" s="7">
        <f t="shared" si="13"/>
        <v>1.2693774244739628E-2</v>
      </c>
      <c r="F733" s="7">
        <f t="shared" si="14"/>
        <v>2.1182723715647687E-2</v>
      </c>
      <c r="G733" s="7">
        <f t="shared" si="14"/>
        <v>2.1182723715647687E-2</v>
      </c>
      <c r="H733" s="7">
        <f t="shared" si="14"/>
        <v>2.1182723715647687E-2</v>
      </c>
      <c r="I733" t="s">
        <v>622</v>
      </c>
      <c r="J733" t="s">
        <v>625</v>
      </c>
      <c r="K733" s="6">
        <f t="shared" si="11"/>
        <v>7.6241945391682692E-2</v>
      </c>
    </row>
    <row r="734" spans="1:13" x14ac:dyDescent="0.2">
      <c r="A734" t="s">
        <v>598</v>
      </c>
      <c r="B734">
        <v>2019</v>
      </c>
      <c r="C734" t="s">
        <v>629</v>
      </c>
      <c r="D734" t="s">
        <v>629</v>
      </c>
      <c r="E734" s="7">
        <v>0</v>
      </c>
      <c r="F734" s="7">
        <v>0</v>
      </c>
      <c r="G734" s="7">
        <v>0</v>
      </c>
      <c r="H734" s="7">
        <v>0</v>
      </c>
      <c r="I734" s="7" t="s">
        <v>630</v>
      </c>
      <c r="J734" t="s">
        <v>631</v>
      </c>
      <c r="K734" s="6">
        <f t="shared" si="11"/>
        <v>0</v>
      </c>
    </row>
    <row r="735" spans="1:13" x14ac:dyDescent="0.2">
      <c r="A735" t="s">
        <v>598</v>
      </c>
      <c r="B735">
        <v>2016</v>
      </c>
      <c r="C735" t="s">
        <v>613</v>
      </c>
      <c r="D735" t="s">
        <v>632</v>
      </c>
      <c r="E735" s="7">
        <f>(2.4*((1088*0.75)/(1088+1382+405)))/240.4</f>
        <v>2.8335383057223468E-3</v>
      </c>
      <c r="F735" s="7">
        <f t="shared" ref="F735:H736" si="15">((810.8/8036.4)*0.75)/4</f>
        <v>1.8917052411527548E-2</v>
      </c>
      <c r="G735" s="7">
        <f t="shared" si="15"/>
        <v>1.8917052411527548E-2</v>
      </c>
      <c r="H735" s="7">
        <f t="shared" si="15"/>
        <v>1.8917052411527548E-2</v>
      </c>
      <c r="I735" t="s">
        <v>633</v>
      </c>
      <c r="J735" t="s">
        <v>624</v>
      </c>
      <c r="K735" s="6">
        <f t="shared" si="11"/>
        <v>5.9584695540304988E-2</v>
      </c>
    </row>
    <row r="736" spans="1:13" x14ac:dyDescent="0.2">
      <c r="A736" s="8" t="s">
        <v>598</v>
      </c>
      <c r="B736">
        <v>2017</v>
      </c>
      <c r="C736" s="8" t="s">
        <v>598</v>
      </c>
      <c r="D736" t="s">
        <v>632</v>
      </c>
      <c r="E736" s="7">
        <f>(2.4*((1088*0.75)/(1088+1382+405)))/240.4</f>
        <v>2.8335383057223468E-3</v>
      </c>
      <c r="F736" s="7">
        <f t="shared" si="15"/>
        <v>1.8917052411527548E-2</v>
      </c>
      <c r="G736" s="7">
        <f t="shared" si="15"/>
        <v>1.8917052411527548E-2</v>
      </c>
      <c r="H736" s="7">
        <f t="shared" si="15"/>
        <v>1.8917052411527548E-2</v>
      </c>
      <c r="I736" t="s">
        <v>633</v>
      </c>
      <c r="J736" t="s">
        <v>624</v>
      </c>
      <c r="K736" s="6">
        <f t="shared" si="11"/>
        <v>5.9584695540304988E-2</v>
      </c>
    </row>
    <row r="737" spans="1:11" x14ac:dyDescent="0.2">
      <c r="A737" s="8" t="s">
        <v>598</v>
      </c>
      <c r="B737">
        <v>2018</v>
      </c>
      <c r="C737" s="8" t="s">
        <v>598</v>
      </c>
      <c r="D737" t="s">
        <v>632</v>
      </c>
      <c r="E737" s="7">
        <f>(4.2*((109.7*0.75)/(300.8)))/90.5</f>
        <v>1.2693774244739628E-2</v>
      </c>
      <c r="F737" s="7">
        <f t="shared" ref="F737:H738" si="16">((978.8/8663.9)*0.75)/4</f>
        <v>2.1182723715647687E-2</v>
      </c>
      <c r="G737" s="7">
        <f t="shared" si="16"/>
        <v>2.1182723715647687E-2</v>
      </c>
      <c r="H737" s="7">
        <f t="shared" si="16"/>
        <v>2.1182723715647687E-2</v>
      </c>
      <c r="I737" t="s">
        <v>622</v>
      </c>
      <c r="J737" t="s">
        <v>625</v>
      </c>
      <c r="K737" s="6">
        <f t="shared" si="11"/>
        <v>7.6241945391682692E-2</v>
      </c>
    </row>
    <row r="738" spans="1:11" x14ac:dyDescent="0.2">
      <c r="A738" t="s">
        <v>598</v>
      </c>
      <c r="B738">
        <v>2018</v>
      </c>
      <c r="C738" s="8" t="s">
        <v>598</v>
      </c>
      <c r="D738" t="s">
        <v>632</v>
      </c>
      <c r="E738" s="7">
        <f>(4.2*((109.7*0.75)/(300.8)))/90.5</f>
        <v>1.2693774244739628E-2</v>
      </c>
      <c r="F738" s="7">
        <f t="shared" si="16"/>
        <v>2.1182723715647687E-2</v>
      </c>
      <c r="G738" s="7">
        <f t="shared" si="16"/>
        <v>2.1182723715647687E-2</v>
      </c>
      <c r="H738" s="7">
        <f t="shared" si="16"/>
        <v>2.1182723715647687E-2</v>
      </c>
      <c r="I738" t="s">
        <v>622</v>
      </c>
      <c r="J738" t="s">
        <v>625</v>
      </c>
      <c r="K738" s="6">
        <f t="shared" si="11"/>
        <v>7.6241945391682692E-2</v>
      </c>
    </row>
    <row r="739" spans="1:11" x14ac:dyDescent="0.2">
      <c r="A739" t="s">
        <v>634</v>
      </c>
      <c r="B739">
        <v>2013</v>
      </c>
      <c r="C739" t="s">
        <v>635</v>
      </c>
      <c r="D739" s="15" t="s">
        <v>635</v>
      </c>
      <c r="E739" s="16" t="s">
        <v>137</v>
      </c>
      <c r="F739" s="16" t="s">
        <v>137</v>
      </c>
      <c r="G739" s="16" t="s">
        <v>137</v>
      </c>
      <c r="H739" s="16" t="s">
        <v>137</v>
      </c>
      <c r="K739" s="6">
        <f t="shared" si="11"/>
        <v>0</v>
      </c>
    </row>
    <row r="740" spans="1:11" x14ac:dyDescent="0.2">
      <c r="A740" t="s">
        <v>636</v>
      </c>
      <c r="B740">
        <v>2010</v>
      </c>
      <c r="C740" t="s">
        <v>637</v>
      </c>
      <c r="D740" t="s">
        <v>637</v>
      </c>
      <c r="E740" s="5">
        <v>1</v>
      </c>
      <c r="I740" t="s">
        <v>638</v>
      </c>
      <c r="J740" t="s">
        <v>639</v>
      </c>
      <c r="K740" s="6">
        <f t="shared" si="11"/>
        <v>1</v>
      </c>
    </row>
    <row r="741" spans="1:11" x14ac:dyDescent="0.2">
      <c r="A741" t="s">
        <v>636</v>
      </c>
      <c r="B741">
        <v>2011</v>
      </c>
      <c r="C741" t="s">
        <v>637</v>
      </c>
      <c r="D741" t="s">
        <v>637</v>
      </c>
      <c r="E741" s="5">
        <v>1</v>
      </c>
      <c r="I741" t="s">
        <v>638</v>
      </c>
      <c r="J741" t="s">
        <v>639</v>
      </c>
      <c r="K741" s="6">
        <f t="shared" si="11"/>
        <v>1</v>
      </c>
    </row>
    <row r="742" spans="1:11" x14ac:dyDescent="0.2">
      <c r="A742" t="s">
        <v>636</v>
      </c>
      <c r="B742">
        <v>2012</v>
      </c>
      <c r="C742" t="s">
        <v>637</v>
      </c>
      <c r="D742" t="s">
        <v>637</v>
      </c>
      <c r="E742" s="5">
        <v>1</v>
      </c>
      <c r="I742" t="s">
        <v>638</v>
      </c>
      <c r="J742" t="s">
        <v>639</v>
      </c>
      <c r="K742" s="6">
        <f t="shared" si="11"/>
        <v>1</v>
      </c>
    </row>
    <row r="743" spans="1:11" x14ac:dyDescent="0.2">
      <c r="A743" t="s">
        <v>636</v>
      </c>
      <c r="B743">
        <v>2013</v>
      </c>
      <c r="C743" t="s">
        <v>637</v>
      </c>
      <c r="D743" t="s">
        <v>637</v>
      </c>
      <c r="E743" s="5">
        <v>1</v>
      </c>
      <c r="I743" t="s">
        <v>638</v>
      </c>
      <c r="J743" t="s">
        <v>639</v>
      </c>
      <c r="K743" s="6">
        <f t="shared" si="11"/>
        <v>1</v>
      </c>
    </row>
    <row r="744" spans="1:11" x14ac:dyDescent="0.2">
      <c r="A744" t="s">
        <v>636</v>
      </c>
      <c r="B744">
        <v>2014</v>
      </c>
      <c r="C744" t="s">
        <v>637</v>
      </c>
      <c r="D744" t="s">
        <v>637</v>
      </c>
      <c r="E744" s="5">
        <v>1</v>
      </c>
      <c r="I744" t="s">
        <v>638</v>
      </c>
      <c r="J744" t="s">
        <v>639</v>
      </c>
      <c r="K744" s="6">
        <f t="shared" si="11"/>
        <v>1</v>
      </c>
    </row>
    <row r="745" spans="1:11" x14ac:dyDescent="0.2">
      <c r="A745" t="s">
        <v>636</v>
      </c>
      <c r="B745">
        <v>2015</v>
      </c>
      <c r="C745" t="s">
        <v>637</v>
      </c>
      <c r="D745" t="s">
        <v>637</v>
      </c>
      <c r="E745" s="5">
        <v>1</v>
      </c>
      <c r="I745" t="s">
        <v>638</v>
      </c>
      <c r="J745" t="s">
        <v>639</v>
      </c>
      <c r="K745" s="6">
        <f t="shared" si="11"/>
        <v>1</v>
      </c>
    </row>
    <row r="746" spans="1:11" x14ac:dyDescent="0.2">
      <c r="A746" t="s">
        <v>636</v>
      </c>
      <c r="B746">
        <v>2016</v>
      </c>
      <c r="C746" t="s">
        <v>637</v>
      </c>
      <c r="D746" t="s">
        <v>637</v>
      </c>
      <c r="E746" s="5">
        <v>1</v>
      </c>
      <c r="I746" t="s">
        <v>638</v>
      </c>
      <c r="J746" t="s">
        <v>639</v>
      </c>
      <c r="K746" s="6">
        <f t="shared" si="11"/>
        <v>1</v>
      </c>
    </row>
    <row r="747" spans="1:11" x14ac:dyDescent="0.2">
      <c r="A747" t="s">
        <v>636</v>
      </c>
      <c r="B747">
        <v>2017</v>
      </c>
      <c r="C747" t="s">
        <v>637</v>
      </c>
      <c r="D747" t="s">
        <v>637</v>
      </c>
      <c r="E747" s="5">
        <v>1</v>
      </c>
      <c r="I747" t="s">
        <v>638</v>
      </c>
      <c r="J747" t="s">
        <v>639</v>
      </c>
      <c r="K747" s="6">
        <f t="shared" si="11"/>
        <v>1</v>
      </c>
    </row>
    <row r="748" spans="1:11" x14ac:dyDescent="0.2">
      <c r="A748" t="s">
        <v>636</v>
      </c>
      <c r="B748">
        <v>2018</v>
      </c>
      <c r="C748" s="8" t="s">
        <v>640</v>
      </c>
      <c r="D748" t="s">
        <v>637</v>
      </c>
      <c r="E748" s="5">
        <v>1</v>
      </c>
      <c r="I748" t="s">
        <v>638</v>
      </c>
      <c r="J748" t="s">
        <v>641</v>
      </c>
      <c r="K748" s="6">
        <f t="shared" si="11"/>
        <v>1</v>
      </c>
    </row>
    <row r="749" spans="1:11" x14ac:dyDescent="0.2">
      <c r="A749" t="s">
        <v>636</v>
      </c>
      <c r="B749">
        <v>2018</v>
      </c>
      <c r="C749" s="8" t="s">
        <v>640</v>
      </c>
      <c r="D749" t="s">
        <v>637</v>
      </c>
      <c r="E749" s="5">
        <v>1</v>
      </c>
      <c r="I749" t="s">
        <v>638</v>
      </c>
      <c r="J749" t="s">
        <v>641</v>
      </c>
      <c r="K749" s="6">
        <f t="shared" si="11"/>
        <v>1</v>
      </c>
    </row>
    <row r="750" spans="1:11" x14ac:dyDescent="0.2">
      <c r="A750" t="s">
        <v>636</v>
      </c>
      <c r="B750">
        <v>2012</v>
      </c>
      <c r="C750" t="s">
        <v>642</v>
      </c>
      <c r="D750" t="s">
        <v>643</v>
      </c>
      <c r="E750" s="5">
        <v>1</v>
      </c>
      <c r="I750" t="s">
        <v>638</v>
      </c>
      <c r="J750" t="s">
        <v>639</v>
      </c>
      <c r="K750" s="6">
        <f t="shared" si="11"/>
        <v>1</v>
      </c>
    </row>
    <row r="751" spans="1:11" x14ac:dyDescent="0.2">
      <c r="A751" t="s">
        <v>636</v>
      </c>
      <c r="B751">
        <v>2013</v>
      </c>
      <c r="C751" t="s">
        <v>642</v>
      </c>
      <c r="D751" t="s">
        <v>643</v>
      </c>
      <c r="E751" s="5">
        <v>1</v>
      </c>
      <c r="I751" t="s">
        <v>638</v>
      </c>
      <c r="J751" t="s">
        <v>639</v>
      </c>
      <c r="K751" s="6">
        <f t="shared" si="11"/>
        <v>1</v>
      </c>
    </row>
    <row r="752" spans="1:11" x14ac:dyDescent="0.2">
      <c r="A752" t="s">
        <v>636</v>
      </c>
      <c r="B752">
        <v>2014</v>
      </c>
      <c r="C752" t="s">
        <v>642</v>
      </c>
      <c r="D752" t="s">
        <v>643</v>
      </c>
      <c r="E752" s="5">
        <v>1</v>
      </c>
      <c r="I752" t="s">
        <v>638</v>
      </c>
      <c r="J752" t="s">
        <v>639</v>
      </c>
      <c r="K752" s="6">
        <f t="shared" si="11"/>
        <v>1</v>
      </c>
    </row>
    <row r="753" spans="1:11" x14ac:dyDescent="0.2">
      <c r="A753" t="s">
        <v>636</v>
      </c>
      <c r="B753">
        <v>2015</v>
      </c>
      <c r="C753" t="s">
        <v>644</v>
      </c>
      <c r="D753" t="s">
        <v>643</v>
      </c>
      <c r="E753" s="5">
        <v>1</v>
      </c>
      <c r="I753" t="s">
        <v>638</v>
      </c>
      <c r="J753" t="s">
        <v>639</v>
      </c>
      <c r="K753" s="6">
        <f t="shared" si="11"/>
        <v>1</v>
      </c>
    </row>
    <row r="754" spans="1:11" x14ac:dyDescent="0.2">
      <c r="A754" t="s">
        <v>636</v>
      </c>
      <c r="B754">
        <v>2016</v>
      </c>
      <c r="C754" t="s">
        <v>644</v>
      </c>
      <c r="D754" t="s">
        <v>643</v>
      </c>
      <c r="E754" s="5">
        <v>1</v>
      </c>
      <c r="I754" t="s">
        <v>638</v>
      </c>
      <c r="J754" t="s">
        <v>639</v>
      </c>
      <c r="K754" s="6">
        <f t="shared" si="11"/>
        <v>1</v>
      </c>
    </row>
    <row r="755" spans="1:11" x14ac:dyDescent="0.2">
      <c r="A755" t="s">
        <v>636</v>
      </c>
      <c r="B755">
        <v>2017</v>
      </c>
      <c r="C755" t="s">
        <v>644</v>
      </c>
      <c r="D755" t="s">
        <v>644</v>
      </c>
      <c r="E755" s="7">
        <v>1</v>
      </c>
      <c r="F755" s="7"/>
      <c r="G755" s="7"/>
      <c r="H755" s="7"/>
      <c r="I755" t="s">
        <v>638</v>
      </c>
      <c r="J755" t="s">
        <v>639</v>
      </c>
      <c r="K755" s="6">
        <f t="shared" si="11"/>
        <v>1</v>
      </c>
    </row>
    <row r="756" spans="1:11" x14ac:dyDescent="0.2">
      <c r="A756" t="s">
        <v>636</v>
      </c>
      <c r="B756">
        <v>2018</v>
      </c>
      <c r="C756" t="s">
        <v>644</v>
      </c>
      <c r="D756" t="s">
        <v>644</v>
      </c>
      <c r="E756" s="5">
        <v>1</v>
      </c>
      <c r="I756" t="s">
        <v>638</v>
      </c>
      <c r="J756" t="s">
        <v>641</v>
      </c>
      <c r="K756" s="6">
        <f t="shared" si="11"/>
        <v>1</v>
      </c>
    </row>
    <row r="757" spans="1:11" x14ac:dyDescent="0.2">
      <c r="A757" t="s">
        <v>636</v>
      </c>
      <c r="B757">
        <v>2018</v>
      </c>
      <c r="C757" s="8" t="s">
        <v>640</v>
      </c>
      <c r="D757" t="s">
        <v>644</v>
      </c>
      <c r="E757" s="5">
        <v>1</v>
      </c>
      <c r="I757" t="s">
        <v>638</v>
      </c>
      <c r="J757" t="s">
        <v>641</v>
      </c>
      <c r="K757" s="6">
        <f t="shared" si="11"/>
        <v>1</v>
      </c>
    </row>
    <row r="758" spans="1:11" x14ac:dyDescent="0.2">
      <c r="A758" t="s">
        <v>636</v>
      </c>
      <c r="B758">
        <v>2018</v>
      </c>
      <c r="C758" t="s">
        <v>643</v>
      </c>
      <c r="D758" t="s">
        <v>643</v>
      </c>
      <c r="E758" s="5">
        <v>1</v>
      </c>
      <c r="I758" t="s">
        <v>638</v>
      </c>
      <c r="J758" t="s">
        <v>641</v>
      </c>
      <c r="K758" s="6">
        <f t="shared" si="11"/>
        <v>1</v>
      </c>
    </row>
    <row r="759" spans="1:11" x14ac:dyDescent="0.2">
      <c r="A759" t="s">
        <v>636</v>
      </c>
      <c r="B759">
        <v>2018</v>
      </c>
      <c r="C759" s="8" t="s">
        <v>640</v>
      </c>
      <c r="D759" t="s">
        <v>644</v>
      </c>
      <c r="E759" s="5">
        <v>1</v>
      </c>
      <c r="I759" t="s">
        <v>638</v>
      </c>
      <c r="J759" t="s">
        <v>641</v>
      </c>
      <c r="K759" s="6">
        <f t="shared" si="11"/>
        <v>1</v>
      </c>
    </row>
    <row r="760" spans="1:11" x14ac:dyDescent="0.2">
      <c r="A760" t="s">
        <v>636</v>
      </c>
      <c r="B760">
        <v>2018</v>
      </c>
      <c r="C760" t="s">
        <v>643</v>
      </c>
      <c r="D760" t="s">
        <v>643</v>
      </c>
      <c r="E760" s="5">
        <v>1</v>
      </c>
      <c r="I760" t="s">
        <v>638</v>
      </c>
      <c r="J760" t="s">
        <v>641</v>
      </c>
      <c r="K760" s="6">
        <f t="shared" si="11"/>
        <v>1</v>
      </c>
    </row>
    <row r="761" spans="1:11" x14ac:dyDescent="0.2">
      <c r="A761" s="9" t="s">
        <v>636</v>
      </c>
      <c r="B761" s="9">
        <v>2019</v>
      </c>
      <c r="C761" s="9" t="s">
        <v>642</v>
      </c>
      <c r="D761" s="9" t="s">
        <v>643</v>
      </c>
      <c r="E761" s="10">
        <v>1</v>
      </c>
      <c r="F761" s="10"/>
      <c r="G761" s="10"/>
      <c r="H761" s="10"/>
      <c r="I761" s="9" t="s">
        <v>638</v>
      </c>
      <c r="J761" s="9" t="s">
        <v>641</v>
      </c>
      <c r="K761" s="6">
        <f t="shared" si="11"/>
        <v>1</v>
      </c>
    </row>
    <row r="762" spans="1:11" x14ac:dyDescent="0.2">
      <c r="A762" s="9" t="s">
        <v>636</v>
      </c>
      <c r="B762" s="9">
        <v>2019</v>
      </c>
      <c r="C762" s="9" t="s">
        <v>642</v>
      </c>
      <c r="D762" s="9" t="s">
        <v>643</v>
      </c>
      <c r="E762" s="10">
        <v>1</v>
      </c>
      <c r="F762" s="10"/>
      <c r="G762" s="10"/>
      <c r="H762" s="10"/>
      <c r="I762" s="9" t="s">
        <v>638</v>
      </c>
      <c r="J762" s="9" t="s">
        <v>641</v>
      </c>
      <c r="K762" s="6">
        <f t="shared" si="11"/>
        <v>1</v>
      </c>
    </row>
    <row r="763" spans="1:11" x14ac:dyDescent="0.2">
      <c r="A763" s="9" t="s">
        <v>636</v>
      </c>
      <c r="B763" s="9">
        <v>2019</v>
      </c>
      <c r="C763" s="9" t="s">
        <v>644</v>
      </c>
      <c r="D763" s="9" t="s">
        <v>644</v>
      </c>
      <c r="E763" s="10">
        <v>1</v>
      </c>
      <c r="F763" s="10"/>
      <c r="G763" s="10"/>
      <c r="H763" s="10"/>
      <c r="I763" s="9" t="s">
        <v>638</v>
      </c>
      <c r="J763" s="9" t="s">
        <v>641</v>
      </c>
      <c r="K763" s="6">
        <f t="shared" si="11"/>
        <v>1</v>
      </c>
    </row>
    <row r="764" spans="1:11" x14ac:dyDescent="0.2">
      <c r="A764" t="s">
        <v>636</v>
      </c>
      <c r="B764">
        <v>2017</v>
      </c>
      <c r="C764" s="8" t="s">
        <v>640</v>
      </c>
      <c r="D764" t="s">
        <v>645</v>
      </c>
      <c r="E764" s="5">
        <f>2367/11630</f>
        <v>0.20352536543422184</v>
      </c>
      <c r="I764" t="s">
        <v>646</v>
      </c>
      <c r="J764" t="s">
        <v>647</v>
      </c>
      <c r="K764" s="6">
        <f t="shared" si="11"/>
        <v>0.20352536543422184</v>
      </c>
    </row>
    <row r="765" spans="1:11" x14ac:dyDescent="0.2">
      <c r="A765" t="s">
        <v>636</v>
      </c>
      <c r="B765">
        <v>2010</v>
      </c>
      <c r="C765" t="s">
        <v>642</v>
      </c>
      <c r="D765" t="s">
        <v>648</v>
      </c>
      <c r="E765" s="5">
        <f>1558/9427</f>
        <v>0.16526996923729712</v>
      </c>
      <c r="I765" t="s">
        <v>646</v>
      </c>
      <c r="J765" t="s">
        <v>649</v>
      </c>
      <c r="K765" s="6">
        <f t="shared" si="11"/>
        <v>0.16526996923729712</v>
      </c>
    </row>
    <row r="766" spans="1:11" x14ac:dyDescent="0.2">
      <c r="A766" t="s">
        <v>636</v>
      </c>
      <c r="B766">
        <v>2011</v>
      </c>
      <c r="C766" t="s">
        <v>642</v>
      </c>
      <c r="D766" t="s">
        <v>648</v>
      </c>
      <c r="E766" s="5">
        <f>1930/13462</f>
        <v>0.14336651314812063</v>
      </c>
      <c r="I766" t="s">
        <v>646</v>
      </c>
      <c r="J766" t="s">
        <v>650</v>
      </c>
      <c r="K766" s="6">
        <f t="shared" si="11"/>
        <v>0.14336651314812063</v>
      </c>
    </row>
    <row r="767" spans="1:11" x14ac:dyDescent="0.2">
      <c r="A767" t="s">
        <v>636</v>
      </c>
      <c r="B767">
        <v>2013</v>
      </c>
      <c r="C767" t="s">
        <v>642</v>
      </c>
      <c r="D767" t="s">
        <v>648</v>
      </c>
      <c r="E767" s="5">
        <f>2709/11833</f>
        <v>0.22893602636693991</v>
      </c>
      <c r="I767" t="s">
        <v>646</v>
      </c>
      <c r="J767" t="s">
        <v>651</v>
      </c>
      <c r="K767" s="6">
        <f t="shared" si="11"/>
        <v>0.22893602636693991</v>
      </c>
    </row>
    <row r="768" spans="1:11" x14ac:dyDescent="0.2">
      <c r="A768" t="s">
        <v>636</v>
      </c>
      <c r="B768">
        <v>2014</v>
      </c>
      <c r="C768" t="s">
        <v>642</v>
      </c>
      <c r="D768" t="s">
        <v>648</v>
      </c>
      <c r="E768" s="5">
        <f>3405/13235</f>
        <v>0.25727238383075179</v>
      </c>
      <c r="I768" t="s">
        <v>646</v>
      </c>
      <c r="J768" t="s">
        <v>651</v>
      </c>
      <c r="K768" s="6">
        <f t="shared" si="11"/>
        <v>0.25727238383075179</v>
      </c>
    </row>
    <row r="769" spans="1:11" x14ac:dyDescent="0.2">
      <c r="A769" t="s">
        <v>636</v>
      </c>
      <c r="B769">
        <v>2016</v>
      </c>
      <c r="C769" t="s">
        <v>642</v>
      </c>
      <c r="D769" t="s">
        <v>648</v>
      </c>
      <c r="E769" s="5">
        <f>2328/11630</f>
        <v>0.2001719690455718</v>
      </c>
      <c r="I769" t="s">
        <v>646</v>
      </c>
      <c r="J769" t="s">
        <v>652</v>
      </c>
      <c r="K769" s="6">
        <f t="shared" si="11"/>
        <v>0.2001719690455718</v>
      </c>
    </row>
    <row r="770" spans="1:11" x14ac:dyDescent="0.2">
      <c r="A770" t="s">
        <v>636</v>
      </c>
      <c r="B770">
        <v>2017</v>
      </c>
      <c r="C770" t="s">
        <v>648</v>
      </c>
      <c r="D770" t="s">
        <v>648</v>
      </c>
      <c r="E770" s="5">
        <f>2367/11630</f>
        <v>0.20352536543422184</v>
      </c>
      <c r="I770" t="s">
        <v>646</v>
      </c>
      <c r="J770" t="s">
        <v>647</v>
      </c>
      <c r="K770" s="6">
        <f t="shared" ref="K770:K833" si="17">SUM(E770:H770)</f>
        <v>0.20352536543422184</v>
      </c>
    </row>
    <row r="771" spans="1:11" x14ac:dyDescent="0.2">
      <c r="A771" t="s">
        <v>636</v>
      </c>
      <c r="B771">
        <v>2018</v>
      </c>
      <c r="C771" t="s">
        <v>648</v>
      </c>
      <c r="D771" t="s">
        <v>648</v>
      </c>
      <c r="E771" s="7">
        <f t="shared" ref="E771:E777" si="18">1658/16341</f>
        <v>0.10146257878954776</v>
      </c>
      <c r="F771" s="7"/>
      <c r="G771" s="7"/>
      <c r="H771" s="7"/>
      <c r="I771" t="s">
        <v>646</v>
      </c>
      <c r="J771" t="s">
        <v>653</v>
      </c>
      <c r="K771" s="6">
        <f t="shared" si="17"/>
        <v>0.10146257878954776</v>
      </c>
    </row>
    <row r="772" spans="1:11" x14ac:dyDescent="0.2">
      <c r="A772" t="s">
        <v>636</v>
      </c>
      <c r="B772">
        <v>2018</v>
      </c>
      <c r="C772" s="8" t="s">
        <v>640</v>
      </c>
      <c r="D772" t="s">
        <v>648</v>
      </c>
      <c r="E772" s="7">
        <f t="shared" si="18"/>
        <v>0.10146257878954776</v>
      </c>
      <c r="F772" s="7"/>
      <c r="G772" s="7"/>
      <c r="H772" s="7"/>
      <c r="I772" t="s">
        <v>646</v>
      </c>
      <c r="J772" t="s">
        <v>653</v>
      </c>
      <c r="K772" s="6">
        <f t="shared" si="17"/>
        <v>0.10146257878954776</v>
      </c>
    </row>
    <row r="773" spans="1:11" x14ac:dyDescent="0.2">
      <c r="A773" t="s">
        <v>636</v>
      </c>
      <c r="B773">
        <v>2018</v>
      </c>
      <c r="C773" t="s">
        <v>654</v>
      </c>
      <c r="D773" t="s">
        <v>654</v>
      </c>
      <c r="E773" s="7">
        <f t="shared" si="18"/>
        <v>0.10146257878954776</v>
      </c>
      <c r="F773" s="7"/>
      <c r="G773" s="7"/>
      <c r="H773" s="7"/>
      <c r="I773" t="s">
        <v>646</v>
      </c>
      <c r="J773" t="s">
        <v>653</v>
      </c>
      <c r="K773" s="6">
        <f t="shared" si="17"/>
        <v>0.10146257878954776</v>
      </c>
    </row>
    <row r="774" spans="1:11" x14ac:dyDescent="0.2">
      <c r="A774" t="s">
        <v>636</v>
      </c>
      <c r="B774">
        <v>2018</v>
      </c>
      <c r="C774" s="8" t="s">
        <v>640</v>
      </c>
      <c r="D774" t="s">
        <v>648</v>
      </c>
      <c r="E774" s="7">
        <f t="shared" si="18"/>
        <v>0.10146257878954776</v>
      </c>
      <c r="F774" s="7"/>
      <c r="G774" s="7"/>
      <c r="H774" s="7"/>
      <c r="I774" t="s">
        <v>646</v>
      </c>
      <c r="J774" t="s">
        <v>653</v>
      </c>
      <c r="K774" s="6">
        <f t="shared" si="17"/>
        <v>0.10146257878954776</v>
      </c>
    </row>
    <row r="775" spans="1:11" x14ac:dyDescent="0.2">
      <c r="A775" t="s">
        <v>636</v>
      </c>
      <c r="B775">
        <v>2018</v>
      </c>
      <c r="C775" t="s">
        <v>654</v>
      </c>
      <c r="D775" t="s">
        <v>654</v>
      </c>
      <c r="E775" s="7">
        <f t="shared" si="18"/>
        <v>0.10146257878954776</v>
      </c>
      <c r="F775" s="7"/>
      <c r="G775" s="7"/>
      <c r="H775" s="7"/>
      <c r="I775" t="s">
        <v>646</v>
      </c>
      <c r="J775" t="s">
        <v>653</v>
      </c>
      <c r="K775" s="6">
        <f t="shared" si="17"/>
        <v>0.10146257878954776</v>
      </c>
    </row>
    <row r="776" spans="1:11" x14ac:dyDescent="0.2">
      <c r="A776" s="9" t="s">
        <v>636</v>
      </c>
      <c r="B776" s="9">
        <v>2019</v>
      </c>
      <c r="C776" s="9" t="s">
        <v>642</v>
      </c>
      <c r="D776" s="9" t="s">
        <v>648</v>
      </c>
      <c r="E776" s="10">
        <f t="shared" si="18"/>
        <v>0.10146257878954776</v>
      </c>
      <c r="F776" s="10"/>
      <c r="G776" s="10"/>
      <c r="H776" s="10"/>
      <c r="I776" s="9" t="s">
        <v>646</v>
      </c>
      <c r="J776" s="9" t="s">
        <v>653</v>
      </c>
      <c r="K776" s="6">
        <f t="shared" si="17"/>
        <v>0.10146257878954776</v>
      </c>
    </row>
    <row r="777" spans="1:11" x14ac:dyDescent="0.2">
      <c r="A777" s="9" t="s">
        <v>636</v>
      </c>
      <c r="B777" s="9">
        <v>2019</v>
      </c>
      <c r="C777" s="9" t="s">
        <v>648</v>
      </c>
      <c r="D777" s="9" t="s">
        <v>648</v>
      </c>
      <c r="E777" s="10">
        <f t="shared" si="18"/>
        <v>0.10146257878954776</v>
      </c>
      <c r="F777" s="10"/>
      <c r="G777" s="10"/>
      <c r="H777" s="10"/>
      <c r="I777" s="9" t="s">
        <v>646</v>
      </c>
      <c r="J777" s="9" t="s">
        <v>653</v>
      </c>
      <c r="K777" s="6">
        <f t="shared" si="17"/>
        <v>0.10146257878954776</v>
      </c>
    </row>
    <row r="778" spans="1:11" x14ac:dyDescent="0.2">
      <c r="A778" t="s">
        <v>636</v>
      </c>
      <c r="B778">
        <v>2016</v>
      </c>
      <c r="C778" s="8" t="s">
        <v>640</v>
      </c>
      <c r="D778" t="s">
        <v>655</v>
      </c>
      <c r="E778" s="12">
        <f>(13609.6*(2328/11630))/15764</f>
        <v>0.17281530258326655</v>
      </c>
      <c r="F778" s="7"/>
      <c r="G778" s="7"/>
      <c r="H778" s="7"/>
      <c r="I778" t="s">
        <v>656</v>
      </c>
      <c r="J778" s="7" t="s">
        <v>657</v>
      </c>
      <c r="K778" s="6">
        <f t="shared" si="17"/>
        <v>0.17281530258326655</v>
      </c>
    </row>
    <row r="779" spans="1:11" x14ac:dyDescent="0.2">
      <c r="A779" t="s">
        <v>636</v>
      </c>
      <c r="B779">
        <v>2017</v>
      </c>
      <c r="C779" s="8" t="s">
        <v>640</v>
      </c>
      <c r="D779" t="s">
        <v>655</v>
      </c>
      <c r="E779" s="12">
        <f>(15408.3*(2367/11630))/17701.2</f>
        <v>0.17716199400154342</v>
      </c>
      <c r="F779" s="7"/>
      <c r="G779" s="7"/>
      <c r="H779" s="7"/>
      <c r="I779" t="s">
        <v>656</v>
      </c>
      <c r="J779" s="7" t="s">
        <v>657</v>
      </c>
      <c r="K779" s="6">
        <f t="shared" si="17"/>
        <v>0.17716199400154342</v>
      </c>
    </row>
    <row r="780" spans="1:11" x14ac:dyDescent="0.2">
      <c r="A780" t="s">
        <v>636</v>
      </c>
      <c r="B780">
        <v>2018</v>
      </c>
      <c r="C780" s="8" t="s">
        <v>640</v>
      </c>
      <c r="D780" t="s">
        <v>655</v>
      </c>
      <c r="E780" s="12">
        <f t="shared" ref="E780:E786" si="19">(17054.2*(1658/16341))/18991.8</f>
        <v>9.1111064311582127E-2</v>
      </c>
      <c r="F780" s="7"/>
      <c r="G780" s="7"/>
      <c r="H780" s="7"/>
      <c r="I780" t="s">
        <v>656</v>
      </c>
      <c r="J780" s="7" t="s">
        <v>658</v>
      </c>
      <c r="K780" s="6">
        <f t="shared" si="17"/>
        <v>9.1111064311582127E-2</v>
      </c>
    </row>
    <row r="781" spans="1:11" x14ac:dyDescent="0.2">
      <c r="A781" t="s">
        <v>636</v>
      </c>
      <c r="B781">
        <v>2018</v>
      </c>
      <c r="C781" s="8" t="s">
        <v>640</v>
      </c>
      <c r="D781" t="s">
        <v>655</v>
      </c>
      <c r="E781" s="12">
        <f t="shared" si="19"/>
        <v>9.1111064311582127E-2</v>
      </c>
      <c r="F781" s="18"/>
      <c r="G781" s="18"/>
      <c r="H781" s="18"/>
      <c r="I781" t="s">
        <v>656</v>
      </c>
      <c r="J781" s="7" t="s">
        <v>658</v>
      </c>
      <c r="K781" s="6">
        <f t="shared" si="17"/>
        <v>9.1111064311582127E-2</v>
      </c>
    </row>
    <row r="782" spans="1:11" x14ac:dyDescent="0.2">
      <c r="A782" t="s">
        <v>636</v>
      </c>
      <c r="B782">
        <v>2018</v>
      </c>
      <c r="C782" t="s">
        <v>659</v>
      </c>
      <c r="D782" t="s">
        <v>659</v>
      </c>
      <c r="E782" s="12">
        <f t="shared" si="19"/>
        <v>9.1111064311582127E-2</v>
      </c>
      <c r="F782" s="18"/>
      <c r="G782" s="18"/>
      <c r="H782" s="18"/>
      <c r="I782" t="s">
        <v>656</v>
      </c>
      <c r="J782" s="7" t="s">
        <v>658</v>
      </c>
      <c r="K782" s="6">
        <f t="shared" si="17"/>
        <v>9.1111064311582127E-2</v>
      </c>
    </row>
    <row r="783" spans="1:11" x14ac:dyDescent="0.2">
      <c r="A783" t="s">
        <v>636</v>
      </c>
      <c r="B783">
        <v>2018</v>
      </c>
      <c r="C783" s="8" t="s">
        <v>640</v>
      </c>
      <c r="D783" t="s">
        <v>655</v>
      </c>
      <c r="E783" s="12">
        <f t="shared" si="19"/>
        <v>9.1111064311582127E-2</v>
      </c>
      <c r="F783" s="18"/>
      <c r="G783" s="18"/>
      <c r="H783" s="18"/>
      <c r="I783" t="s">
        <v>656</v>
      </c>
      <c r="J783" s="7" t="s">
        <v>658</v>
      </c>
      <c r="K783" s="6">
        <f t="shared" si="17"/>
        <v>9.1111064311582127E-2</v>
      </c>
    </row>
    <row r="784" spans="1:11" x14ac:dyDescent="0.2">
      <c r="A784" t="s">
        <v>636</v>
      </c>
      <c r="B784">
        <v>2018</v>
      </c>
      <c r="C784" t="s">
        <v>659</v>
      </c>
      <c r="D784" t="s">
        <v>659</v>
      </c>
      <c r="E784" s="12">
        <f t="shared" si="19"/>
        <v>9.1111064311582127E-2</v>
      </c>
      <c r="F784" s="18"/>
      <c r="G784" s="18"/>
      <c r="H784" s="18"/>
      <c r="I784" t="s">
        <v>656</v>
      </c>
      <c r="J784" s="7" t="s">
        <v>658</v>
      </c>
      <c r="K784" s="6">
        <f t="shared" si="17"/>
        <v>9.1111064311582127E-2</v>
      </c>
    </row>
    <row r="785" spans="1:11" x14ac:dyDescent="0.2">
      <c r="A785" s="9" t="s">
        <v>636</v>
      </c>
      <c r="B785" s="9">
        <v>2019</v>
      </c>
      <c r="C785" s="9" t="s">
        <v>642</v>
      </c>
      <c r="D785" s="9" t="s">
        <v>655</v>
      </c>
      <c r="E785" s="13">
        <f t="shared" si="19"/>
        <v>9.1111064311582127E-2</v>
      </c>
      <c r="F785" s="19"/>
      <c r="G785" s="19"/>
      <c r="H785" s="19"/>
      <c r="I785" s="9" t="s">
        <v>656</v>
      </c>
      <c r="J785" s="10" t="s">
        <v>658</v>
      </c>
      <c r="K785" s="6">
        <f t="shared" si="17"/>
        <v>9.1111064311582127E-2</v>
      </c>
    </row>
    <row r="786" spans="1:11" x14ac:dyDescent="0.2">
      <c r="A786" s="9" t="s">
        <v>636</v>
      </c>
      <c r="B786" s="9">
        <v>2019</v>
      </c>
      <c r="C786" s="9" t="s">
        <v>655</v>
      </c>
      <c r="D786" s="9" t="s">
        <v>655</v>
      </c>
      <c r="E786" s="13">
        <f t="shared" si="19"/>
        <v>9.1111064311582127E-2</v>
      </c>
      <c r="F786" s="19"/>
      <c r="G786" s="19"/>
      <c r="H786" s="19"/>
      <c r="I786" s="9" t="s">
        <v>656</v>
      </c>
      <c r="J786" s="10" t="s">
        <v>658</v>
      </c>
      <c r="K786" s="6">
        <f t="shared" si="17"/>
        <v>9.1111064311582127E-2</v>
      </c>
    </row>
    <row r="787" spans="1:11" x14ac:dyDescent="0.2">
      <c r="A787" t="s">
        <v>636</v>
      </c>
      <c r="B787">
        <v>2015</v>
      </c>
      <c r="C787" t="s">
        <v>642</v>
      </c>
      <c r="D787" t="s">
        <v>642</v>
      </c>
      <c r="E787" s="7">
        <f>(1633*(2328/11630))/(1633+830+261+918+409+71+100+93+1377)</f>
        <v>5.7428114098984316E-2</v>
      </c>
      <c r="F787" s="7"/>
      <c r="G787" s="7"/>
      <c r="H787" s="7"/>
      <c r="I787" t="s">
        <v>660</v>
      </c>
      <c r="J787" t="s">
        <v>661</v>
      </c>
      <c r="K787" s="6">
        <f t="shared" si="17"/>
        <v>5.7428114098984316E-2</v>
      </c>
    </row>
    <row r="788" spans="1:11" x14ac:dyDescent="0.2">
      <c r="A788" t="s">
        <v>636</v>
      </c>
      <c r="B788">
        <v>2016</v>
      </c>
      <c r="C788" t="s">
        <v>642</v>
      </c>
      <c r="D788" t="s">
        <v>642</v>
      </c>
      <c r="E788" s="7">
        <f>(1633*(2328/11630))/(1633+830+261+918+409+71+100+93+1377)</f>
        <v>5.7428114098984316E-2</v>
      </c>
      <c r="F788" s="7"/>
      <c r="G788" s="7"/>
      <c r="H788" s="7"/>
      <c r="I788" t="s">
        <v>662</v>
      </c>
      <c r="J788" t="s">
        <v>661</v>
      </c>
      <c r="K788" s="6">
        <f t="shared" si="17"/>
        <v>5.7428114098984316E-2</v>
      </c>
    </row>
    <row r="789" spans="1:11" x14ac:dyDescent="0.2">
      <c r="A789" t="s">
        <v>636</v>
      </c>
      <c r="B789">
        <v>2017</v>
      </c>
      <c r="C789" t="s">
        <v>642</v>
      </c>
      <c r="D789" t="s">
        <v>642</v>
      </c>
      <c r="E789" s="7">
        <f>((2380*(2367/11630))/11700)</f>
        <v>4.14008863020041E-2</v>
      </c>
      <c r="F789" s="7"/>
      <c r="G789" s="7"/>
      <c r="H789" s="7"/>
      <c r="I789" t="s">
        <v>662</v>
      </c>
      <c r="J789" t="s">
        <v>661</v>
      </c>
      <c r="K789" s="6">
        <f t="shared" si="17"/>
        <v>4.14008863020041E-2</v>
      </c>
    </row>
    <row r="790" spans="1:11" x14ac:dyDescent="0.2">
      <c r="A790" t="s">
        <v>636</v>
      </c>
      <c r="B790">
        <v>2018</v>
      </c>
      <c r="C790" s="8" t="s">
        <v>640</v>
      </c>
      <c r="D790" t="s">
        <v>642</v>
      </c>
      <c r="E790" s="7">
        <f t="shared" ref="E790:E796" si="20">((16.8*(1658/16341))/92.348)</f>
        <v>1.8458129289907768E-2</v>
      </c>
      <c r="F790" s="7"/>
      <c r="G790" s="7"/>
      <c r="H790" s="7"/>
      <c r="I790" t="s">
        <v>663</v>
      </c>
      <c r="J790" t="s">
        <v>664</v>
      </c>
      <c r="K790" s="6">
        <f t="shared" si="17"/>
        <v>1.8458129289907768E-2</v>
      </c>
    </row>
    <row r="791" spans="1:11" x14ac:dyDescent="0.2">
      <c r="A791" t="s">
        <v>636</v>
      </c>
      <c r="B791">
        <v>2018</v>
      </c>
      <c r="C791" s="8" t="s">
        <v>640</v>
      </c>
      <c r="D791" t="s">
        <v>642</v>
      </c>
      <c r="E791" s="7">
        <f t="shared" si="20"/>
        <v>1.8458129289907768E-2</v>
      </c>
      <c r="F791" s="7"/>
      <c r="G791" s="7"/>
      <c r="H791" s="7"/>
      <c r="I791" t="s">
        <v>663</v>
      </c>
      <c r="J791" t="s">
        <v>664</v>
      </c>
      <c r="K791" s="6">
        <f t="shared" si="17"/>
        <v>1.8458129289907768E-2</v>
      </c>
    </row>
    <row r="792" spans="1:11" x14ac:dyDescent="0.2">
      <c r="A792" t="s">
        <v>636</v>
      </c>
      <c r="B792">
        <v>2018</v>
      </c>
      <c r="C792" t="s">
        <v>665</v>
      </c>
      <c r="D792" t="s">
        <v>665</v>
      </c>
      <c r="E792" s="7">
        <f t="shared" si="20"/>
        <v>1.8458129289907768E-2</v>
      </c>
      <c r="F792" s="7"/>
      <c r="G792" s="7"/>
      <c r="H792" s="7"/>
      <c r="I792" t="s">
        <v>663</v>
      </c>
      <c r="J792" t="s">
        <v>664</v>
      </c>
      <c r="K792" s="6">
        <f t="shared" si="17"/>
        <v>1.8458129289907768E-2</v>
      </c>
    </row>
    <row r="793" spans="1:11" x14ac:dyDescent="0.2">
      <c r="A793" t="s">
        <v>636</v>
      </c>
      <c r="B793">
        <v>2018</v>
      </c>
      <c r="C793" s="8" t="s">
        <v>640</v>
      </c>
      <c r="D793" t="s">
        <v>642</v>
      </c>
      <c r="E793" s="7">
        <f t="shared" si="20"/>
        <v>1.8458129289907768E-2</v>
      </c>
      <c r="F793" s="7"/>
      <c r="G793" s="7"/>
      <c r="H793" s="7"/>
      <c r="I793" t="s">
        <v>663</v>
      </c>
      <c r="J793" t="s">
        <v>664</v>
      </c>
      <c r="K793" s="6">
        <f t="shared" si="17"/>
        <v>1.8458129289907768E-2</v>
      </c>
    </row>
    <row r="794" spans="1:11" x14ac:dyDescent="0.2">
      <c r="A794" t="s">
        <v>636</v>
      </c>
      <c r="B794">
        <v>2018</v>
      </c>
      <c r="C794" t="s">
        <v>665</v>
      </c>
      <c r="D794" t="s">
        <v>665</v>
      </c>
      <c r="E794" s="7">
        <f t="shared" si="20"/>
        <v>1.8458129289907768E-2</v>
      </c>
      <c r="F794" s="7"/>
      <c r="G794" s="7"/>
      <c r="H794" s="7"/>
      <c r="I794" t="s">
        <v>663</v>
      </c>
      <c r="J794" t="s">
        <v>664</v>
      </c>
      <c r="K794" s="6">
        <f t="shared" si="17"/>
        <v>1.8458129289907768E-2</v>
      </c>
    </row>
    <row r="795" spans="1:11" x14ac:dyDescent="0.2">
      <c r="A795" s="9" t="s">
        <v>636</v>
      </c>
      <c r="B795" s="9">
        <v>2019</v>
      </c>
      <c r="C795" s="9" t="s">
        <v>642</v>
      </c>
      <c r="D795" s="9" t="s">
        <v>665</v>
      </c>
      <c r="E795" s="10">
        <f t="shared" si="20"/>
        <v>1.8458129289907768E-2</v>
      </c>
      <c r="F795" s="10"/>
      <c r="G795" s="10"/>
      <c r="H795" s="10"/>
      <c r="I795" s="9" t="s">
        <v>663</v>
      </c>
      <c r="J795" s="9" t="s">
        <v>664</v>
      </c>
      <c r="K795" s="6">
        <f t="shared" si="17"/>
        <v>1.8458129289907768E-2</v>
      </c>
    </row>
    <row r="796" spans="1:11" x14ac:dyDescent="0.2">
      <c r="A796" s="9" t="s">
        <v>636</v>
      </c>
      <c r="B796" s="9">
        <v>2019</v>
      </c>
      <c r="C796" s="9" t="s">
        <v>642</v>
      </c>
      <c r="D796" s="9" t="s">
        <v>642</v>
      </c>
      <c r="E796" s="10">
        <f t="shared" si="20"/>
        <v>1.8458129289907768E-2</v>
      </c>
      <c r="F796" s="10"/>
      <c r="G796" s="10"/>
      <c r="H796" s="10"/>
      <c r="I796" s="9" t="s">
        <v>663</v>
      </c>
      <c r="J796" s="9" t="s">
        <v>664</v>
      </c>
      <c r="K796" s="6">
        <f t="shared" si="17"/>
        <v>1.8458129289907768E-2</v>
      </c>
    </row>
    <row r="797" spans="1:11" x14ac:dyDescent="0.2">
      <c r="A797" t="s">
        <v>636</v>
      </c>
      <c r="B797">
        <v>2016</v>
      </c>
      <c r="C797" s="8" t="s">
        <v>640</v>
      </c>
      <c r="D797" t="s">
        <v>666</v>
      </c>
      <c r="E797" s="12">
        <f>(375*(2328/11630))/1438</f>
        <v>5.2200617797002385E-2</v>
      </c>
      <c r="F797" s="12"/>
      <c r="G797" s="12"/>
      <c r="H797" s="12"/>
      <c r="I797" t="s">
        <v>667</v>
      </c>
      <c r="J797" t="s">
        <v>668</v>
      </c>
      <c r="K797" s="6">
        <f t="shared" si="17"/>
        <v>5.2200617797002385E-2</v>
      </c>
    </row>
    <row r="798" spans="1:11" x14ac:dyDescent="0.2">
      <c r="A798" t="s">
        <v>636</v>
      </c>
      <c r="B798">
        <v>2017</v>
      </c>
      <c r="C798" s="8" t="s">
        <v>640</v>
      </c>
      <c r="D798" t="s">
        <v>666</v>
      </c>
      <c r="E798" s="12">
        <f>(481*(2367/11630))/1739</f>
        <v>5.6294250013720938E-2</v>
      </c>
      <c r="F798" s="12"/>
      <c r="G798" s="12"/>
      <c r="H798" s="12"/>
      <c r="I798" t="s">
        <v>667</v>
      </c>
      <c r="J798" t="s">
        <v>668</v>
      </c>
      <c r="K798" s="6">
        <f t="shared" si="17"/>
        <v>5.6294250013720938E-2</v>
      </c>
    </row>
    <row r="799" spans="1:11" x14ac:dyDescent="0.2">
      <c r="A799" t="s">
        <v>636</v>
      </c>
      <c r="B799">
        <v>2018</v>
      </c>
      <c r="C799" s="8" t="s">
        <v>640</v>
      </c>
      <c r="D799" t="s">
        <v>666</v>
      </c>
      <c r="E799" s="12">
        <f t="shared" ref="E799:E805" si="21">(554*(1658/16341))/1917</f>
        <v>2.9321997208872956E-2</v>
      </c>
      <c r="F799" s="12"/>
      <c r="G799" s="12"/>
      <c r="H799" s="12"/>
      <c r="I799" t="s">
        <v>667</v>
      </c>
      <c r="J799" t="s">
        <v>669</v>
      </c>
      <c r="K799" s="6">
        <f t="shared" si="17"/>
        <v>2.9321997208872956E-2</v>
      </c>
    </row>
    <row r="800" spans="1:11" x14ac:dyDescent="0.2">
      <c r="A800" t="s">
        <v>636</v>
      </c>
      <c r="B800">
        <v>2018</v>
      </c>
      <c r="C800" s="8" t="s">
        <v>640</v>
      </c>
      <c r="D800" t="s">
        <v>666</v>
      </c>
      <c r="E800" s="12">
        <f t="shared" si="21"/>
        <v>2.9321997208872956E-2</v>
      </c>
      <c r="F800" s="18"/>
      <c r="G800" s="18"/>
      <c r="H800" s="18"/>
      <c r="I800" t="s">
        <v>667</v>
      </c>
      <c r="J800" t="s">
        <v>669</v>
      </c>
      <c r="K800" s="6">
        <f t="shared" si="17"/>
        <v>2.9321997208872956E-2</v>
      </c>
    </row>
    <row r="801" spans="1:13" x14ac:dyDescent="0.2">
      <c r="A801" t="s">
        <v>636</v>
      </c>
      <c r="B801">
        <v>2018</v>
      </c>
      <c r="C801" t="s">
        <v>670</v>
      </c>
      <c r="D801" t="s">
        <v>670</v>
      </c>
      <c r="E801" s="12">
        <f t="shared" si="21"/>
        <v>2.9321997208872956E-2</v>
      </c>
      <c r="F801" s="18"/>
      <c r="G801" s="18"/>
      <c r="H801" s="18"/>
      <c r="I801" t="s">
        <v>667</v>
      </c>
      <c r="J801" t="s">
        <v>669</v>
      </c>
      <c r="K801" s="6">
        <f t="shared" si="17"/>
        <v>2.9321997208872956E-2</v>
      </c>
    </row>
    <row r="802" spans="1:13" x14ac:dyDescent="0.2">
      <c r="A802" t="s">
        <v>636</v>
      </c>
      <c r="B802">
        <v>2018</v>
      </c>
      <c r="C802" s="8" t="s">
        <v>640</v>
      </c>
      <c r="D802" t="s">
        <v>666</v>
      </c>
      <c r="E802" s="12">
        <f t="shared" si="21"/>
        <v>2.9321997208872956E-2</v>
      </c>
      <c r="F802" s="18"/>
      <c r="G802" s="18"/>
      <c r="H802" s="18"/>
      <c r="I802" t="s">
        <v>667</v>
      </c>
      <c r="J802" t="s">
        <v>669</v>
      </c>
      <c r="K802" s="6">
        <f t="shared" si="17"/>
        <v>2.9321997208872956E-2</v>
      </c>
    </row>
    <row r="803" spans="1:13" x14ac:dyDescent="0.2">
      <c r="A803" t="s">
        <v>636</v>
      </c>
      <c r="B803">
        <v>2018</v>
      </c>
      <c r="C803" t="s">
        <v>670</v>
      </c>
      <c r="D803" t="s">
        <v>670</v>
      </c>
      <c r="E803" s="12">
        <f t="shared" si="21"/>
        <v>2.9321997208872956E-2</v>
      </c>
      <c r="F803" s="18"/>
      <c r="G803" s="18"/>
      <c r="H803" s="18"/>
      <c r="I803" t="s">
        <v>667</v>
      </c>
      <c r="J803" t="s">
        <v>669</v>
      </c>
      <c r="K803" s="6">
        <f t="shared" si="17"/>
        <v>2.9321997208872956E-2</v>
      </c>
    </row>
    <row r="804" spans="1:13" x14ac:dyDescent="0.2">
      <c r="A804" s="9" t="s">
        <v>636</v>
      </c>
      <c r="B804" s="9">
        <v>2019</v>
      </c>
      <c r="C804" s="9" t="s">
        <v>642</v>
      </c>
      <c r="D804" s="9" t="s">
        <v>666</v>
      </c>
      <c r="E804" s="13">
        <f t="shared" si="21"/>
        <v>2.9321997208872956E-2</v>
      </c>
      <c r="F804" s="13"/>
      <c r="G804" s="13"/>
      <c r="H804" s="13"/>
      <c r="I804" s="9" t="s">
        <v>667</v>
      </c>
      <c r="J804" s="9" t="s">
        <v>669</v>
      </c>
      <c r="K804" s="6">
        <f t="shared" si="17"/>
        <v>2.9321997208872956E-2</v>
      </c>
    </row>
    <row r="805" spans="1:13" x14ac:dyDescent="0.2">
      <c r="A805" s="9" t="s">
        <v>636</v>
      </c>
      <c r="B805" s="9">
        <v>2019</v>
      </c>
      <c r="C805" s="9" t="s">
        <v>666</v>
      </c>
      <c r="D805" s="9" t="s">
        <v>666</v>
      </c>
      <c r="E805" s="13">
        <f t="shared" si="21"/>
        <v>2.9321997208872956E-2</v>
      </c>
      <c r="F805" s="13"/>
      <c r="G805" s="13"/>
      <c r="H805" s="13"/>
      <c r="I805" s="9" t="s">
        <v>667</v>
      </c>
      <c r="J805" s="9" t="s">
        <v>669</v>
      </c>
      <c r="K805" s="6">
        <f t="shared" si="17"/>
        <v>2.9321997208872956E-2</v>
      </c>
      <c r="M805" t="s">
        <v>69</v>
      </c>
    </row>
    <row r="806" spans="1:13" x14ac:dyDescent="0.2">
      <c r="A806" s="9" t="s">
        <v>636</v>
      </c>
      <c r="B806" s="9">
        <v>2019</v>
      </c>
      <c r="C806" s="9" t="s">
        <v>642</v>
      </c>
      <c r="D806" s="9" t="s">
        <v>671</v>
      </c>
      <c r="E806" s="10">
        <f>1658/16341</f>
        <v>0.10146257878954776</v>
      </c>
      <c r="F806" s="10"/>
      <c r="G806" s="10"/>
      <c r="H806" s="10"/>
      <c r="I806" s="9" t="s">
        <v>646</v>
      </c>
      <c r="J806" s="9" t="s">
        <v>653</v>
      </c>
      <c r="K806" s="6">
        <f t="shared" si="17"/>
        <v>0.10146257878954776</v>
      </c>
      <c r="M806" t="s">
        <v>69</v>
      </c>
    </row>
    <row r="807" spans="1:13" x14ac:dyDescent="0.2">
      <c r="A807" s="9" t="s">
        <v>636</v>
      </c>
      <c r="B807" s="9">
        <v>2019</v>
      </c>
      <c r="C807" s="9" t="s">
        <v>642</v>
      </c>
      <c r="D807" s="9" t="s">
        <v>671</v>
      </c>
      <c r="E807" s="10">
        <f>1658/16341</f>
        <v>0.10146257878954776</v>
      </c>
      <c r="F807" s="10"/>
      <c r="G807" s="10"/>
      <c r="H807" s="10"/>
      <c r="I807" s="9" t="s">
        <v>646</v>
      </c>
      <c r="J807" s="9" t="s">
        <v>653</v>
      </c>
      <c r="K807" s="6">
        <f t="shared" si="17"/>
        <v>0.10146257878954776</v>
      </c>
      <c r="M807" t="s">
        <v>69</v>
      </c>
    </row>
    <row r="808" spans="1:13" x14ac:dyDescent="0.2">
      <c r="A808" t="s">
        <v>672</v>
      </c>
      <c r="B808">
        <v>2016</v>
      </c>
      <c r="C808" t="s">
        <v>673</v>
      </c>
      <c r="D808" t="s">
        <v>673</v>
      </c>
      <c r="E808" s="5">
        <f>27393/(37137+27393+101336)</f>
        <v>0.16515138726441828</v>
      </c>
      <c r="H808" s="5">
        <f>37137/(37137+27393+101336)</f>
        <v>0.22389760409004858</v>
      </c>
      <c r="I808" t="s">
        <v>674</v>
      </c>
      <c r="J808" t="s">
        <v>675</v>
      </c>
      <c r="K808" s="6">
        <f t="shared" si="17"/>
        <v>0.38904899135446686</v>
      </c>
      <c r="M808" t="s">
        <v>69</v>
      </c>
    </row>
    <row r="809" spans="1:13" x14ac:dyDescent="0.2">
      <c r="A809" s="15" t="s">
        <v>676</v>
      </c>
      <c r="B809" s="15">
        <v>2010</v>
      </c>
      <c r="C809" s="15" t="s">
        <v>677</v>
      </c>
      <c r="D809" s="15" t="s">
        <v>678</v>
      </c>
      <c r="E809" s="16">
        <v>0</v>
      </c>
      <c r="F809" s="16"/>
      <c r="G809" s="16"/>
      <c r="H809" s="16"/>
      <c r="I809" s="15" t="s">
        <v>679</v>
      </c>
      <c r="J809" s="15"/>
      <c r="K809" s="6">
        <f t="shared" si="17"/>
        <v>0</v>
      </c>
      <c r="M809" t="s">
        <v>69</v>
      </c>
    </row>
    <row r="810" spans="1:13" x14ac:dyDescent="0.2">
      <c r="A810" s="15" t="s">
        <v>676</v>
      </c>
      <c r="B810" s="15">
        <v>2012</v>
      </c>
      <c r="C810" s="15" t="s">
        <v>680</v>
      </c>
      <c r="D810" s="15" t="s">
        <v>678</v>
      </c>
      <c r="E810" s="16">
        <v>0</v>
      </c>
      <c r="F810" s="16"/>
      <c r="G810" s="16"/>
      <c r="H810" s="16"/>
      <c r="I810" s="15" t="s">
        <v>679</v>
      </c>
      <c r="J810" s="15"/>
      <c r="K810" s="6">
        <f t="shared" si="17"/>
        <v>0</v>
      </c>
      <c r="M810" t="s">
        <v>69</v>
      </c>
    </row>
    <row r="811" spans="1:13" x14ac:dyDescent="0.2">
      <c r="A811" s="15" t="s">
        <v>676</v>
      </c>
      <c r="B811" s="15">
        <v>2016</v>
      </c>
      <c r="C811" s="15" t="s">
        <v>678</v>
      </c>
      <c r="D811" s="15" t="s">
        <v>678</v>
      </c>
      <c r="E811" s="16">
        <v>0</v>
      </c>
      <c r="F811" s="16"/>
      <c r="G811" s="16"/>
      <c r="H811" s="16"/>
      <c r="I811" s="15" t="s">
        <v>679</v>
      </c>
      <c r="J811" s="15"/>
      <c r="K811" s="6">
        <f t="shared" si="17"/>
        <v>0</v>
      </c>
    </row>
    <row r="812" spans="1:13" x14ac:dyDescent="0.2">
      <c r="A812" s="15" t="s">
        <v>676</v>
      </c>
      <c r="B812" s="15">
        <v>2017</v>
      </c>
      <c r="C812" s="15" t="s">
        <v>678</v>
      </c>
      <c r="D812" s="15" t="s">
        <v>678</v>
      </c>
      <c r="E812" s="16">
        <v>0</v>
      </c>
      <c r="F812" s="16"/>
      <c r="G812" s="16"/>
      <c r="H812" s="16"/>
      <c r="I812" s="15" t="s">
        <v>679</v>
      </c>
      <c r="J812" s="15"/>
      <c r="K812" s="6">
        <f t="shared" si="17"/>
        <v>0</v>
      </c>
    </row>
    <row r="813" spans="1:13" x14ac:dyDescent="0.2">
      <c r="A813" s="20" t="s">
        <v>676</v>
      </c>
      <c r="B813" s="15">
        <v>2018</v>
      </c>
      <c r="C813" s="20" t="s">
        <v>676</v>
      </c>
      <c r="D813" s="15" t="s">
        <v>678</v>
      </c>
      <c r="E813" s="16">
        <v>0</v>
      </c>
      <c r="F813" s="16"/>
      <c r="G813" s="16"/>
      <c r="H813" s="16"/>
      <c r="I813" s="15" t="s">
        <v>679</v>
      </c>
      <c r="J813" s="15"/>
      <c r="K813" s="6">
        <f t="shared" si="17"/>
        <v>0</v>
      </c>
    </row>
    <row r="814" spans="1:13" x14ac:dyDescent="0.2">
      <c r="A814" s="15" t="s">
        <v>676</v>
      </c>
      <c r="B814" s="15">
        <v>2018</v>
      </c>
      <c r="C814" s="20" t="s">
        <v>676</v>
      </c>
      <c r="D814" s="15" t="s">
        <v>678</v>
      </c>
      <c r="E814" s="16">
        <v>0</v>
      </c>
      <c r="F814" s="16"/>
      <c r="G814" s="16"/>
      <c r="H814" s="16"/>
      <c r="I814" s="15" t="s">
        <v>679</v>
      </c>
      <c r="J814" s="15"/>
      <c r="K814" s="6">
        <f t="shared" si="17"/>
        <v>0</v>
      </c>
    </row>
    <row r="815" spans="1:13" x14ac:dyDescent="0.2">
      <c r="A815" t="s">
        <v>681</v>
      </c>
      <c r="B815">
        <v>2013</v>
      </c>
      <c r="C815" t="s">
        <v>682</v>
      </c>
      <c r="D815" t="s">
        <v>683</v>
      </c>
      <c r="E815" s="5">
        <f>490/1083</f>
        <v>0.45244690674053556</v>
      </c>
      <c r="I815" t="s">
        <v>684</v>
      </c>
      <c r="J815" t="s">
        <v>685</v>
      </c>
      <c r="K815" s="6">
        <f t="shared" si="17"/>
        <v>0.45244690674053556</v>
      </c>
    </row>
    <row r="816" spans="1:13" x14ac:dyDescent="0.2">
      <c r="A816" t="s">
        <v>681</v>
      </c>
      <c r="B816">
        <v>2013</v>
      </c>
      <c r="C816" t="s">
        <v>682</v>
      </c>
      <c r="D816" t="s">
        <v>686</v>
      </c>
      <c r="E816" s="5">
        <f>490/1083</f>
        <v>0.45244690674053556</v>
      </c>
      <c r="I816" t="s">
        <v>684</v>
      </c>
      <c r="J816" t="s">
        <v>685</v>
      </c>
      <c r="K816" s="6">
        <f t="shared" si="17"/>
        <v>0.45244690674053556</v>
      </c>
    </row>
    <row r="817" spans="1:11" x14ac:dyDescent="0.2">
      <c r="A817" t="s">
        <v>681</v>
      </c>
      <c r="B817">
        <v>2012</v>
      </c>
      <c r="C817" t="s">
        <v>682</v>
      </c>
      <c r="D817" t="s">
        <v>687</v>
      </c>
      <c r="E817" s="5">
        <f>1460/2157</f>
        <v>0.67686601761706078</v>
      </c>
      <c r="I817" t="s">
        <v>688</v>
      </c>
      <c r="J817" t="s">
        <v>689</v>
      </c>
      <c r="K817" s="6">
        <f t="shared" si="17"/>
        <v>0.67686601761706078</v>
      </c>
    </row>
    <row r="818" spans="1:11" x14ac:dyDescent="0.2">
      <c r="A818" t="s">
        <v>681</v>
      </c>
      <c r="B818">
        <v>2016</v>
      </c>
      <c r="C818" t="s">
        <v>690</v>
      </c>
      <c r="D818" t="s">
        <v>690</v>
      </c>
      <c r="E818" s="5">
        <f>308/939</f>
        <v>0.32800851970181044</v>
      </c>
      <c r="I818" t="s">
        <v>691</v>
      </c>
      <c r="J818" t="s">
        <v>692</v>
      </c>
      <c r="K818" s="6">
        <f t="shared" si="17"/>
        <v>0.32800851970181044</v>
      </c>
    </row>
    <row r="819" spans="1:11" x14ac:dyDescent="0.2">
      <c r="A819" s="8" t="s">
        <v>681</v>
      </c>
      <c r="B819">
        <v>2017</v>
      </c>
      <c r="C819" s="8" t="s">
        <v>693</v>
      </c>
      <c r="D819" t="s">
        <v>690</v>
      </c>
      <c r="E819" s="11">
        <f>325/(325+871+501+3+238+828)</f>
        <v>0.11749819233550253</v>
      </c>
      <c r="I819" t="s">
        <v>694</v>
      </c>
      <c r="J819" t="s">
        <v>695</v>
      </c>
      <c r="K819" s="6">
        <f t="shared" si="17"/>
        <v>0.11749819233550253</v>
      </c>
    </row>
    <row r="820" spans="1:11" x14ac:dyDescent="0.2">
      <c r="A820" s="8" t="s">
        <v>681</v>
      </c>
      <c r="B820">
        <v>2018</v>
      </c>
      <c r="C820" s="8" t="s">
        <v>693</v>
      </c>
      <c r="D820" t="s">
        <v>690</v>
      </c>
      <c r="E820" s="12">
        <f>202/1402</f>
        <v>0.14407988587731813</v>
      </c>
      <c r="F820" s="7"/>
      <c r="G820" s="7"/>
      <c r="H820" s="7"/>
      <c r="I820" t="s">
        <v>694</v>
      </c>
      <c r="J820" t="s">
        <v>696</v>
      </c>
      <c r="K820" s="6">
        <f t="shared" si="17"/>
        <v>0.14407988587731813</v>
      </c>
    </row>
    <row r="821" spans="1:11" x14ac:dyDescent="0.2">
      <c r="A821" t="s">
        <v>681</v>
      </c>
      <c r="B821">
        <v>2018</v>
      </c>
      <c r="C821" s="8" t="s">
        <v>693</v>
      </c>
      <c r="D821" t="s">
        <v>690</v>
      </c>
      <c r="E821" s="12">
        <f>202/1402</f>
        <v>0.14407988587731813</v>
      </c>
      <c r="F821" s="7"/>
      <c r="G821" s="7"/>
      <c r="H821" s="7"/>
      <c r="I821" t="s">
        <v>694</v>
      </c>
      <c r="J821" t="s">
        <v>696</v>
      </c>
      <c r="K821" s="6">
        <f t="shared" si="17"/>
        <v>0.14407988587731813</v>
      </c>
    </row>
    <row r="822" spans="1:11" x14ac:dyDescent="0.2">
      <c r="A822" s="9" t="s">
        <v>681</v>
      </c>
      <c r="B822" s="9">
        <v>2019</v>
      </c>
      <c r="C822" s="9" t="s">
        <v>690</v>
      </c>
      <c r="D822" s="9" t="s">
        <v>690</v>
      </c>
      <c r="E822" s="13">
        <f>202/1402</f>
        <v>0.14407988587731813</v>
      </c>
      <c r="F822" s="10"/>
      <c r="G822" s="10"/>
      <c r="H822" s="10"/>
      <c r="I822" s="9" t="s">
        <v>694</v>
      </c>
      <c r="J822" s="9" t="s">
        <v>696</v>
      </c>
      <c r="K822" s="6">
        <f t="shared" si="17"/>
        <v>0.14407988587731813</v>
      </c>
    </row>
    <row r="823" spans="1:11" x14ac:dyDescent="0.2">
      <c r="A823" t="s">
        <v>681</v>
      </c>
      <c r="B823">
        <v>2016</v>
      </c>
      <c r="C823" t="s">
        <v>693</v>
      </c>
      <c r="D823" t="s">
        <v>697</v>
      </c>
      <c r="E823" s="5">
        <f>4701876/6340162</f>
        <v>0.74160187074084227</v>
      </c>
      <c r="I823" t="s">
        <v>698</v>
      </c>
      <c r="J823" t="s">
        <v>699</v>
      </c>
      <c r="K823" s="6">
        <f t="shared" si="17"/>
        <v>0.74160187074084227</v>
      </c>
    </row>
    <row r="824" spans="1:11" x14ac:dyDescent="0.2">
      <c r="A824" t="s">
        <v>681</v>
      </c>
      <c r="B824">
        <v>2018</v>
      </c>
      <c r="C824" t="s">
        <v>693</v>
      </c>
      <c r="D824" t="s">
        <v>697</v>
      </c>
      <c r="E824" s="7">
        <f>75585/197291</f>
        <v>0.3831142829627302</v>
      </c>
      <c r="F824" s="7"/>
      <c r="G824" s="7"/>
      <c r="H824" s="7"/>
      <c r="I824" t="s">
        <v>700</v>
      </c>
      <c r="J824" t="s">
        <v>701</v>
      </c>
      <c r="K824" s="6">
        <f t="shared" si="17"/>
        <v>0.3831142829627302</v>
      </c>
    </row>
    <row r="825" spans="1:11" x14ac:dyDescent="0.2">
      <c r="A825" t="s">
        <v>681</v>
      </c>
      <c r="B825">
        <v>2015</v>
      </c>
      <c r="C825" t="s">
        <v>702</v>
      </c>
      <c r="D825" t="s">
        <v>702</v>
      </c>
      <c r="E825" s="5">
        <f>121524/303650</f>
        <v>0.40021076897744112</v>
      </c>
      <c r="I825" t="s">
        <v>700</v>
      </c>
      <c r="J825" t="s">
        <v>703</v>
      </c>
      <c r="K825" s="6">
        <f t="shared" si="17"/>
        <v>0.40021076897744112</v>
      </c>
    </row>
    <row r="826" spans="1:11" x14ac:dyDescent="0.2">
      <c r="A826" t="s">
        <v>681</v>
      </c>
      <c r="B826">
        <v>2016</v>
      </c>
      <c r="C826" t="s">
        <v>702</v>
      </c>
      <c r="D826" t="s">
        <v>702</v>
      </c>
      <c r="E826" s="5">
        <f>4701876/6340162</f>
        <v>0.74160187074084227</v>
      </c>
      <c r="I826" t="s">
        <v>698</v>
      </c>
      <c r="J826" t="s">
        <v>699</v>
      </c>
      <c r="K826" s="6">
        <f t="shared" si="17"/>
        <v>0.74160187074084227</v>
      </c>
    </row>
    <row r="827" spans="1:11" x14ac:dyDescent="0.2">
      <c r="A827" t="s">
        <v>681</v>
      </c>
      <c r="B827">
        <v>2010</v>
      </c>
      <c r="C827" t="s">
        <v>682</v>
      </c>
      <c r="D827" t="s">
        <v>704</v>
      </c>
      <c r="E827" s="5">
        <f>361/734</f>
        <v>0.49182561307901906</v>
      </c>
      <c r="I827" t="s">
        <v>705</v>
      </c>
      <c r="J827" t="s">
        <v>706</v>
      </c>
      <c r="K827" s="6">
        <f t="shared" si="17"/>
        <v>0.49182561307901906</v>
      </c>
    </row>
    <row r="828" spans="1:11" x14ac:dyDescent="0.2">
      <c r="A828" t="s">
        <v>681</v>
      </c>
      <c r="B828">
        <v>2012</v>
      </c>
      <c r="C828" t="s">
        <v>682</v>
      </c>
      <c r="D828" t="s">
        <v>704</v>
      </c>
      <c r="E828" s="5">
        <f>1460/2157</f>
        <v>0.67686601761706078</v>
      </c>
      <c r="I828" t="s">
        <v>705</v>
      </c>
      <c r="J828" t="s">
        <v>689</v>
      </c>
      <c r="K828" s="6">
        <f t="shared" si="17"/>
        <v>0.67686601761706078</v>
      </c>
    </row>
    <row r="829" spans="1:11" x14ac:dyDescent="0.2">
      <c r="A829" t="s">
        <v>681</v>
      </c>
      <c r="B829">
        <v>2015</v>
      </c>
      <c r="C829" t="s">
        <v>682</v>
      </c>
      <c r="D829" t="s">
        <v>707</v>
      </c>
      <c r="E829" s="5">
        <v>1</v>
      </c>
      <c r="I829" t="s">
        <v>708</v>
      </c>
      <c r="J829" t="s">
        <v>709</v>
      </c>
      <c r="K829" s="6">
        <f t="shared" si="17"/>
        <v>1</v>
      </c>
    </row>
    <row r="830" spans="1:11" x14ac:dyDescent="0.2">
      <c r="A830" t="s">
        <v>710</v>
      </c>
      <c r="B830">
        <v>2016</v>
      </c>
      <c r="C830" t="s">
        <v>711</v>
      </c>
      <c r="D830" t="s">
        <v>711</v>
      </c>
      <c r="E830" s="5">
        <f>375482/378883</f>
        <v>0.99102361415001461</v>
      </c>
      <c r="I830" t="s">
        <v>712</v>
      </c>
      <c r="J830" t="s">
        <v>713</v>
      </c>
      <c r="K830" s="6">
        <f t="shared" si="17"/>
        <v>0.99102361415001461</v>
      </c>
    </row>
    <row r="831" spans="1:11" x14ac:dyDescent="0.2">
      <c r="A831" s="8" t="s">
        <v>710</v>
      </c>
      <c r="B831">
        <v>2017</v>
      </c>
      <c r="C831" s="8" t="s">
        <v>714</v>
      </c>
      <c r="D831" t="s">
        <v>711</v>
      </c>
      <c r="E831" s="11">
        <f>387944/(387944+3321)</f>
        <v>0.99151214649917574</v>
      </c>
      <c r="I831" t="s">
        <v>712</v>
      </c>
      <c r="J831" t="s">
        <v>715</v>
      </c>
      <c r="K831" s="6">
        <f t="shared" si="17"/>
        <v>0.99151214649917574</v>
      </c>
    </row>
    <row r="832" spans="1:11" x14ac:dyDescent="0.2">
      <c r="A832" t="s">
        <v>710</v>
      </c>
      <c r="B832">
        <v>2019</v>
      </c>
      <c r="C832" t="s">
        <v>711</v>
      </c>
      <c r="D832" t="s">
        <v>711</v>
      </c>
      <c r="E832" s="5">
        <f>356211/(356211+1118)</f>
        <v>0.99687123071455153</v>
      </c>
      <c r="I832" t="s">
        <v>712</v>
      </c>
      <c r="J832" t="s">
        <v>715</v>
      </c>
      <c r="K832" s="6">
        <f t="shared" si="17"/>
        <v>0.99687123071455153</v>
      </c>
    </row>
    <row r="833" spans="1:11" x14ac:dyDescent="0.2">
      <c r="A833" t="s">
        <v>710</v>
      </c>
      <c r="B833">
        <v>2019</v>
      </c>
      <c r="C833" t="s">
        <v>711</v>
      </c>
      <c r="D833" t="s">
        <v>711</v>
      </c>
      <c r="E833" s="7">
        <f>356211/(356211+1118)</f>
        <v>0.99687123071455153</v>
      </c>
      <c r="F833" s="7"/>
      <c r="G833" s="7"/>
      <c r="H833" s="7"/>
      <c r="I833" t="s">
        <v>712</v>
      </c>
      <c r="K833" s="6">
        <f t="shared" si="17"/>
        <v>0.99687123071455153</v>
      </c>
    </row>
    <row r="834" spans="1:11" x14ac:dyDescent="0.2">
      <c r="A834" t="s">
        <v>716</v>
      </c>
      <c r="B834">
        <v>2014</v>
      </c>
      <c r="C834" t="s">
        <v>717</v>
      </c>
      <c r="D834" t="s">
        <v>718</v>
      </c>
      <c r="F834" s="5">
        <v>1</v>
      </c>
      <c r="I834" t="s">
        <v>719</v>
      </c>
      <c r="J834" t="s">
        <v>720</v>
      </c>
      <c r="K834" s="6">
        <f t="shared" ref="K834:K897" si="22">SUM(E834:H834)</f>
        <v>1</v>
      </c>
    </row>
    <row r="835" spans="1:11" x14ac:dyDescent="0.2">
      <c r="A835" t="s">
        <v>716</v>
      </c>
      <c r="B835">
        <v>2010</v>
      </c>
      <c r="C835" t="s">
        <v>721</v>
      </c>
      <c r="D835" t="s">
        <v>722</v>
      </c>
      <c r="F835" s="5">
        <v>1</v>
      </c>
      <c r="I835" t="s">
        <v>719</v>
      </c>
      <c r="J835" t="s">
        <v>720</v>
      </c>
      <c r="K835" s="6">
        <f t="shared" si="22"/>
        <v>1</v>
      </c>
    </row>
    <row r="836" spans="1:11" x14ac:dyDescent="0.2">
      <c r="A836" t="s">
        <v>716</v>
      </c>
      <c r="B836">
        <v>2011</v>
      </c>
      <c r="C836" t="s">
        <v>721</v>
      </c>
      <c r="D836" t="s">
        <v>722</v>
      </c>
      <c r="F836" s="5">
        <v>1</v>
      </c>
      <c r="I836" t="s">
        <v>719</v>
      </c>
      <c r="J836" t="s">
        <v>720</v>
      </c>
      <c r="K836" s="6">
        <f t="shared" si="22"/>
        <v>1</v>
      </c>
    </row>
    <row r="837" spans="1:11" x14ac:dyDescent="0.2">
      <c r="A837" t="s">
        <v>716</v>
      </c>
      <c r="B837">
        <v>2016</v>
      </c>
      <c r="C837" t="s">
        <v>722</v>
      </c>
      <c r="D837" t="s">
        <v>722</v>
      </c>
      <c r="F837" s="5">
        <v>1</v>
      </c>
      <c r="I837" t="s">
        <v>719</v>
      </c>
      <c r="J837" t="s">
        <v>720</v>
      </c>
      <c r="K837" s="6">
        <f t="shared" si="22"/>
        <v>1</v>
      </c>
    </row>
    <row r="838" spans="1:11" x14ac:dyDescent="0.2">
      <c r="A838" t="s">
        <v>716</v>
      </c>
      <c r="B838">
        <v>2017</v>
      </c>
      <c r="C838" t="s">
        <v>717</v>
      </c>
      <c r="D838" t="s">
        <v>722</v>
      </c>
      <c r="F838" s="5">
        <v>1</v>
      </c>
      <c r="I838" t="s">
        <v>719</v>
      </c>
      <c r="J838" t="s">
        <v>720</v>
      </c>
      <c r="K838" s="6">
        <f t="shared" si="22"/>
        <v>1</v>
      </c>
    </row>
    <row r="839" spans="1:11" x14ac:dyDescent="0.2">
      <c r="A839" t="s">
        <v>723</v>
      </c>
      <c r="B839">
        <v>2016</v>
      </c>
      <c r="C839" t="s">
        <v>724</v>
      </c>
      <c r="D839" t="s">
        <v>724</v>
      </c>
      <c r="E839" s="5">
        <v>1</v>
      </c>
      <c r="I839" t="s">
        <v>725</v>
      </c>
      <c r="J839" t="s">
        <v>726</v>
      </c>
      <c r="K839" s="6">
        <f t="shared" si="22"/>
        <v>1</v>
      </c>
    </row>
    <row r="840" spans="1:11" x14ac:dyDescent="0.2">
      <c r="A840" t="s">
        <v>723</v>
      </c>
      <c r="B840">
        <v>2017</v>
      </c>
      <c r="C840" t="s">
        <v>724</v>
      </c>
      <c r="D840" t="s">
        <v>724</v>
      </c>
      <c r="E840" s="5">
        <v>1</v>
      </c>
      <c r="I840" t="s">
        <v>725</v>
      </c>
      <c r="J840" t="s">
        <v>726</v>
      </c>
      <c r="K840" s="6">
        <f t="shared" si="22"/>
        <v>1</v>
      </c>
    </row>
    <row r="841" spans="1:11" x14ac:dyDescent="0.2">
      <c r="A841" s="8" t="s">
        <v>723</v>
      </c>
      <c r="B841">
        <v>2018</v>
      </c>
      <c r="C841" s="8" t="s">
        <v>723</v>
      </c>
      <c r="D841" t="s">
        <v>724</v>
      </c>
      <c r="E841" s="5">
        <v>1</v>
      </c>
      <c r="I841" t="s">
        <v>725</v>
      </c>
      <c r="J841" t="s">
        <v>727</v>
      </c>
      <c r="K841" s="6">
        <f t="shared" si="22"/>
        <v>1</v>
      </c>
    </row>
    <row r="842" spans="1:11" x14ac:dyDescent="0.2">
      <c r="A842" t="s">
        <v>723</v>
      </c>
      <c r="B842">
        <v>2018</v>
      </c>
      <c r="C842" s="8" t="s">
        <v>723</v>
      </c>
      <c r="D842" t="s">
        <v>724</v>
      </c>
      <c r="E842" s="5">
        <v>1</v>
      </c>
      <c r="I842" t="s">
        <v>725</v>
      </c>
      <c r="J842" t="s">
        <v>727</v>
      </c>
      <c r="K842" s="6">
        <f t="shared" si="22"/>
        <v>1</v>
      </c>
    </row>
    <row r="843" spans="1:11" x14ac:dyDescent="0.2">
      <c r="A843" t="s">
        <v>723</v>
      </c>
      <c r="B843">
        <v>2019</v>
      </c>
      <c r="C843" t="s">
        <v>724</v>
      </c>
      <c r="D843" t="s">
        <v>724</v>
      </c>
      <c r="E843" s="7">
        <v>1</v>
      </c>
      <c r="F843" s="7"/>
      <c r="G843" s="7"/>
      <c r="H843" s="7"/>
      <c r="I843" t="s">
        <v>725</v>
      </c>
      <c r="J843" t="s">
        <v>728</v>
      </c>
      <c r="K843" s="6">
        <f t="shared" si="22"/>
        <v>1</v>
      </c>
    </row>
    <row r="844" spans="1:11" x14ac:dyDescent="0.2">
      <c r="A844" t="s">
        <v>729</v>
      </c>
      <c r="B844">
        <v>2012</v>
      </c>
      <c r="C844" t="s">
        <v>729</v>
      </c>
      <c r="D844" t="s">
        <v>730</v>
      </c>
      <c r="F844" s="5">
        <v>1</v>
      </c>
      <c r="I844" t="s">
        <v>731</v>
      </c>
      <c r="J844" t="s">
        <v>732</v>
      </c>
      <c r="K844" s="6">
        <f t="shared" si="22"/>
        <v>1</v>
      </c>
    </row>
    <row r="845" spans="1:11" x14ac:dyDescent="0.2">
      <c r="A845" t="s">
        <v>733</v>
      </c>
      <c r="B845">
        <v>2010</v>
      </c>
      <c r="C845" t="s">
        <v>734</v>
      </c>
      <c r="D845" t="s">
        <v>734</v>
      </c>
      <c r="E845" s="5">
        <v>1</v>
      </c>
      <c r="I845" t="s">
        <v>735</v>
      </c>
      <c r="J845" t="s">
        <v>736</v>
      </c>
      <c r="K845" s="6">
        <f t="shared" si="22"/>
        <v>1</v>
      </c>
    </row>
    <row r="846" spans="1:11" x14ac:dyDescent="0.2">
      <c r="A846" t="s">
        <v>733</v>
      </c>
      <c r="B846">
        <v>2015</v>
      </c>
      <c r="C846" t="s">
        <v>734</v>
      </c>
      <c r="D846" t="s">
        <v>734</v>
      </c>
      <c r="E846" s="5">
        <v>1</v>
      </c>
      <c r="I846" t="s">
        <v>735</v>
      </c>
      <c r="J846" t="s">
        <v>736</v>
      </c>
      <c r="K846" s="6">
        <f t="shared" si="22"/>
        <v>1</v>
      </c>
    </row>
    <row r="847" spans="1:11" x14ac:dyDescent="0.2">
      <c r="A847" t="s">
        <v>733</v>
      </c>
      <c r="B847">
        <v>2016</v>
      </c>
      <c r="C847" t="s">
        <v>737</v>
      </c>
      <c r="D847" t="s">
        <v>737</v>
      </c>
      <c r="E847" s="5">
        <v>1</v>
      </c>
      <c r="I847" t="s">
        <v>735</v>
      </c>
      <c r="J847" t="s">
        <v>736</v>
      </c>
      <c r="K847" s="6">
        <f t="shared" si="22"/>
        <v>1</v>
      </c>
    </row>
    <row r="848" spans="1:11" x14ac:dyDescent="0.2">
      <c r="A848" t="s">
        <v>733</v>
      </c>
      <c r="B848">
        <v>2017</v>
      </c>
      <c r="C848" t="s">
        <v>737</v>
      </c>
      <c r="D848" t="s">
        <v>737</v>
      </c>
      <c r="E848" s="5">
        <v>1</v>
      </c>
      <c r="I848" t="s">
        <v>735</v>
      </c>
      <c r="J848" t="s">
        <v>736</v>
      </c>
      <c r="K848" s="6">
        <f t="shared" si="22"/>
        <v>1</v>
      </c>
    </row>
    <row r="849" spans="1:11" x14ac:dyDescent="0.2">
      <c r="A849" s="8" t="s">
        <v>733</v>
      </c>
      <c r="B849">
        <v>2018</v>
      </c>
      <c r="C849" s="8" t="s">
        <v>733</v>
      </c>
      <c r="D849" t="s">
        <v>737</v>
      </c>
      <c r="E849" s="5">
        <v>1</v>
      </c>
      <c r="I849" t="s">
        <v>735</v>
      </c>
      <c r="J849" t="s">
        <v>738</v>
      </c>
      <c r="K849" s="6">
        <f t="shared" si="22"/>
        <v>1</v>
      </c>
    </row>
    <row r="850" spans="1:11" x14ac:dyDescent="0.2">
      <c r="A850" t="s">
        <v>733</v>
      </c>
      <c r="B850">
        <v>2018</v>
      </c>
      <c r="C850" s="8" t="s">
        <v>733</v>
      </c>
      <c r="D850" t="s">
        <v>737</v>
      </c>
      <c r="E850" s="5">
        <v>1</v>
      </c>
      <c r="I850" t="s">
        <v>735</v>
      </c>
      <c r="J850" t="s">
        <v>738</v>
      </c>
      <c r="K850" s="6">
        <f t="shared" si="22"/>
        <v>1</v>
      </c>
    </row>
    <row r="851" spans="1:11" x14ac:dyDescent="0.2">
      <c r="A851" s="9" t="s">
        <v>733</v>
      </c>
      <c r="B851" s="9">
        <v>2019</v>
      </c>
      <c r="C851" s="9" t="s">
        <v>737</v>
      </c>
      <c r="D851" s="9" t="s">
        <v>737</v>
      </c>
      <c r="E851" s="10">
        <v>1</v>
      </c>
      <c r="F851" s="10"/>
      <c r="G851" s="10"/>
      <c r="H851" s="10"/>
      <c r="I851" s="9" t="s">
        <v>735</v>
      </c>
      <c r="J851" s="9" t="s">
        <v>738</v>
      </c>
      <c r="K851" s="6">
        <f t="shared" si="22"/>
        <v>1</v>
      </c>
    </row>
    <row r="852" spans="1:11" x14ac:dyDescent="0.2">
      <c r="A852" t="s">
        <v>733</v>
      </c>
      <c r="B852">
        <v>2010</v>
      </c>
      <c r="C852" t="s">
        <v>734</v>
      </c>
      <c r="D852" t="s">
        <v>739</v>
      </c>
      <c r="E852" s="5">
        <v>1</v>
      </c>
      <c r="I852" t="s">
        <v>735</v>
      </c>
      <c r="J852" t="s">
        <v>736</v>
      </c>
      <c r="K852" s="6">
        <f t="shared" si="22"/>
        <v>1</v>
      </c>
    </row>
    <row r="853" spans="1:11" x14ac:dyDescent="0.2">
      <c r="A853" t="s">
        <v>740</v>
      </c>
      <c r="B853">
        <v>2018</v>
      </c>
      <c r="C853" t="s">
        <v>741</v>
      </c>
      <c r="D853" t="s">
        <v>742</v>
      </c>
      <c r="E853" s="5">
        <f>(25461+831)/26292</f>
        <v>1</v>
      </c>
      <c r="I853" s="5" t="s">
        <v>743</v>
      </c>
      <c r="J853" t="s">
        <v>744</v>
      </c>
      <c r="K853" s="6">
        <f t="shared" si="22"/>
        <v>1</v>
      </c>
    </row>
    <row r="854" spans="1:11" x14ac:dyDescent="0.2">
      <c r="A854" t="s">
        <v>740</v>
      </c>
      <c r="B854">
        <v>2018</v>
      </c>
      <c r="C854" t="s">
        <v>741</v>
      </c>
      <c r="D854" t="s">
        <v>742</v>
      </c>
      <c r="E854" s="5">
        <f>(25461+831)/26292</f>
        <v>1</v>
      </c>
      <c r="F854" s="7"/>
      <c r="G854" s="7"/>
      <c r="H854" s="7"/>
      <c r="I854" s="5" t="s">
        <v>743</v>
      </c>
      <c r="J854" t="s">
        <v>744</v>
      </c>
      <c r="K854" s="6">
        <f t="shared" si="22"/>
        <v>1</v>
      </c>
    </row>
    <row r="855" spans="1:11" x14ac:dyDescent="0.2">
      <c r="A855" t="s">
        <v>740</v>
      </c>
      <c r="B855">
        <v>2010</v>
      </c>
      <c r="C855" t="s">
        <v>741</v>
      </c>
      <c r="D855" t="s">
        <v>745</v>
      </c>
      <c r="E855" s="5">
        <f>(101741+364)/103014</f>
        <v>0.99117595666608427</v>
      </c>
      <c r="I855" t="s">
        <v>746</v>
      </c>
      <c r="J855" t="s">
        <v>747</v>
      </c>
      <c r="K855" s="6">
        <f t="shared" si="22"/>
        <v>0.99117595666608427</v>
      </c>
    </row>
    <row r="856" spans="1:11" x14ac:dyDescent="0.2">
      <c r="A856" t="s">
        <v>740</v>
      </c>
      <c r="B856">
        <v>2016</v>
      </c>
      <c r="C856" t="s">
        <v>748</v>
      </c>
      <c r="D856" t="s">
        <v>748</v>
      </c>
      <c r="E856" s="5">
        <f>(25461+831)/26292</f>
        <v>1</v>
      </c>
      <c r="I856" t="s">
        <v>746</v>
      </c>
      <c r="J856" t="s">
        <v>749</v>
      </c>
      <c r="K856" s="6">
        <f t="shared" si="22"/>
        <v>1</v>
      </c>
    </row>
    <row r="857" spans="1:11" x14ac:dyDescent="0.2">
      <c r="A857" s="8" t="s">
        <v>740</v>
      </c>
      <c r="B857">
        <v>2017</v>
      </c>
      <c r="C857" s="8" t="s">
        <v>740</v>
      </c>
      <c r="D857" t="s">
        <v>748</v>
      </c>
      <c r="E857" s="11">
        <f>(15009+390)/(15009+390)</f>
        <v>1</v>
      </c>
      <c r="I857" t="s">
        <v>746</v>
      </c>
      <c r="J857" t="s">
        <v>750</v>
      </c>
      <c r="K857" s="6">
        <f t="shared" si="22"/>
        <v>1</v>
      </c>
    </row>
    <row r="858" spans="1:11" x14ac:dyDescent="0.2">
      <c r="A858" s="8" t="s">
        <v>740</v>
      </c>
      <c r="B858">
        <v>2018</v>
      </c>
      <c r="C858" s="8" t="s">
        <v>740</v>
      </c>
      <c r="D858" t="s">
        <v>748</v>
      </c>
      <c r="E858" s="12">
        <f>(10636)/(10636)</f>
        <v>1</v>
      </c>
      <c r="F858" s="7"/>
      <c r="G858" s="7"/>
      <c r="H858" s="7"/>
      <c r="I858" t="s">
        <v>746</v>
      </c>
      <c r="J858" t="s">
        <v>751</v>
      </c>
      <c r="K858" s="6">
        <f t="shared" si="22"/>
        <v>1</v>
      </c>
    </row>
    <row r="859" spans="1:11" x14ac:dyDescent="0.2">
      <c r="A859" t="s">
        <v>740</v>
      </c>
      <c r="B859">
        <v>2018</v>
      </c>
      <c r="C859" s="8" t="s">
        <v>740</v>
      </c>
      <c r="D859" t="s">
        <v>748</v>
      </c>
      <c r="E859" s="12">
        <f>(10636)/(10636)</f>
        <v>1</v>
      </c>
      <c r="F859" s="7"/>
      <c r="G859" s="7"/>
      <c r="H859" s="7"/>
      <c r="I859" t="s">
        <v>746</v>
      </c>
      <c r="J859" t="s">
        <v>751</v>
      </c>
      <c r="K859" s="6">
        <f t="shared" si="22"/>
        <v>1</v>
      </c>
    </row>
    <row r="860" spans="1:11" x14ac:dyDescent="0.2">
      <c r="A860" t="s">
        <v>740</v>
      </c>
      <c r="B860">
        <v>2018</v>
      </c>
      <c r="C860" t="s">
        <v>748</v>
      </c>
      <c r="D860" t="s">
        <v>748</v>
      </c>
      <c r="E860" s="12">
        <f>(10636)/(10636)</f>
        <v>1</v>
      </c>
      <c r="F860" s="7"/>
      <c r="G860" s="7"/>
      <c r="H860" s="7"/>
      <c r="I860" t="s">
        <v>746</v>
      </c>
      <c r="J860" t="s">
        <v>751</v>
      </c>
      <c r="K860" s="6">
        <f t="shared" si="22"/>
        <v>1</v>
      </c>
    </row>
    <row r="861" spans="1:11" x14ac:dyDescent="0.2">
      <c r="A861" s="9" t="s">
        <v>740</v>
      </c>
      <c r="B861" s="9">
        <v>2019</v>
      </c>
      <c r="C861" s="9" t="s">
        <v>748</v>
      </c>
      <c r="D861" s="9" t="s">
        <v>748</v>
      </c>
      <c r="E861" s="13">
        <f>(10636)/(10636)</f>
        <v>1</v>
      </c>
      <c r="F861" s="10"/>
      <c r="G861" s="10"/>
      <c r="H861" s="10"/>
      <c r="I861" s="9" t="s">
        <v>746</v>
      </c>
      <c r="J861" s="9" t="s">
        <v>751</v>
      </c>
      <c r="K861" s="6">
        <f t="shared" si="22"/>
        <v>1</v>
      </c>
    </row>
    <row r="862" spans="1:11" x14ac:dyDescent="0.2">
      <c r="A862" t="s">
        <v>740</v>
      </c>
      <c r="B862">
        <v>2013</v>
      </c>
      <c r="C862" t="s">
        <v>741</v>
      </c>
      <c r="D862" t="s">
        <v>752</v>
      </c>
      <c r="E862" s="11">
        <v>1</v>
      </c>
      <c r="I862" s="5" t="s">
        <v>743</v>
      </c>
      <c r="J862" t="s">
        <v>753</v>
      </c>
      <c r="K862" s="6">
        <f t="shared" si="22"/>
        <v>1</v>
      </c>
    </row>
    <row r="863" spans="1:11" x14ac:dyDescent="0.2">
      <c r="A863" t="s">
        <v>740</v>
      </c>
      <c r="B863">
        <v>2018</v>
      </c>
      <c r="C863" t="s">
        <v>741</v>
      </c>
      <c r="D863" t="s">
        <v>752</v>
      </c>
      <c r="E863" s="12">
        <v>1</v>
      </c>
      <c r="F863" s="7"/>
      <c r="G863" s="7"/>
      <c r="H863" s="7"/>
      <c r="I863" s="7" t="s">
        <v>743</v>
      </c>
      <c r="K863" s="6">
        <f t="shared" si="22"/>
        <v>1</v>
      </c>
    </row>
    <row r="864" spans="1:11" x14ac:dyDescent="0.2">
      <c r="A864" t="s">
        <v>740</v>
      </c>
      <c r="B864">
        <v>2018</v>
      </c>
      <c r="C864" t="s">
        <v>741</v>
      </c>
      <c r="D864" t="s">
        <v>754</v>
      </c>
      <c r="E864" s="7">
        <f>(25461+831)/26292</f>
        <v>1</v>
      </c>
      <c r="F864" s="7"/>
      <c r="G864" s="7"/>
      <c r="H864" s="7"/>
      <c r="I864" s="7" t="s">
        <v>743</v>
      </c>
      <c r="J864" t="s">
        <v>744</v>
      </c>
      <c r="K864" s="6">
        <f t="shared" si="22"/>
        <v>1</v>
      </c>
    </row>
    <row r="865" spans="1:11" x14ac:dyDescent="0.2">
      <c r="A865" t="s">
        <v>740</v>
      </c>
      <c r="B865">
        <v>2018</v>
      </c>
      <c r="C865" t="s">
        <v>741</v>
      </c>
      <c r="D865" t="s">
        <v>754</v>
      </c>
      <c r="E865" s="7">
        <f>(25461+831)/26292</f>
        <v>1</v>
      </c>
      <c r="F865" s="7"/>
      <c r="G865" s="7"/>
      <c r="H865" s="7"/>
      <c r="I865" s="7" t="s">
        <v>743</v>
      </c>
      <c r="J865" t="s">
        <v>744</v>
      </c>
      <c r="K865" s="6">
        <f t="shared" si="22"/>
        <v>1</v>
      </c>
    </row>
    <row r="866" spans="1:11" x14ac:dyDescent="0.2">
      <c r="A866" s="8" t="s">
        <v>755</v>
      </c>
      <c r="B866">
        <v>2018</v>
      </c>
      <c r="C866" s="8" t="s">
        <v>755</v>
      </c>
      <c r="D866" t="s">
        <v>756</v>
      </c>
      <c r="E866" s="12">
        <v>0.05</v>
      </c>
      <c r="F866" s="7"/>
      <c r="G866" s="7"/>
      <c r="H866" s="7"/>
      <c r="I866" t="s">
        <v>757</v>
      </c>
      <c r="J866" t="s">
        <v>758</v>
      </c>
      <c r="K866" s="6">
        <f t="shared" si="22"/>
        <v>0.05</v>
      </c>
    </row>
    <row r="867" spans="1:11" x14ac:dyDescent="0.2">
      <c r="A867" t="s">
        <v>755</v>
      </c>
      <c r="B867">
        <v>2018</v>
      </c>
      <c r="C867" s="8" t="s">
        <v>755</v>
      </c>
      <c r="D867" t="s">
        <v>756</v>
      </c>
      <c r="E867" s="12">
        <v>0.05</v>
      </c>
      <c r="F867" s="7"/>
      <c r="G867" s="7"/>
      <c r="H867" s="7"/>
      <c r="I867" t="s">
        <v>757</v>
      </c>
      <c r="J867" t="s">
        <v>758</v>
      </c>
      <c r="K867" s="6">
        <f t="shared" si="22"/>
        <v>0.05</v>
      </c>
    </row>
    <row r="868" spans="1:11" x14ac:dyDescent="0.2">
      <c r="A868" s="9" t="s">
        <v>755</v>
      </c>
      <c r="B868" s="9">
        <v>2019</v>
      </c>
      <c r="C868" s="9" t="s">
        <v>756</v>
      </c>
      <c r="D868" s="9" t="s">
        <v>756</v>
      </c>
      <c r="E868" s="13">
        <v>0.05</v>
      </c>
      <c r="F868" s="10"/>
      <c r="G868" s="10"/>
      <c r="H868" s="10"/>
      <c r="I868" s="9" t="s">
        <v>757</v>
      </c>
      <c r="J868" s="9" t="s">
        <v>758</v>
      </c>
      <c r="K868" s="6">
        <f t="shared" si="22"/>
        <v>0.05</v>
      </c>
    </row>
    <row r="869" spans="1:11" x14ac:dyDescent="0.2">
      <c r="A869" t="s">
        <v>755</v>
      </c>
      <c r="B869">
        <v>2016</v>
      </c>
      <c r="C869" t="s">
        <v>759</v>
      </c>
      <c r="D869" t="s">
        <v>759</v>
      </c>
      <c r="E869" s="5">
        <f>5855/7484</f>
        <v>0.78233564938535538</v>
      </c>
      <c r="I869" t="s">
        <v>760</v>
      </c>
      <c r="J869" t="s">
        <v>761</v>
      </c>
      <c r="K869" s="6">
        <f t="shared" si="22"/>
        <v>0.78233564938535538</v>
      </c>
    </row>
    <row r="870" spans="1:11" x14ac:dyDescent="0.2">
      <c r="A870" t="s">
        <v>755</v>
      </c>
      <c r="B870">
        <v>2017</v>
      </c>
      <c r="C870" t="s">
        <v>759</v>
      </c>
      <c r="D870" t="s">
        <v>759</v>
      </c>
      <c r="E870" s="5">
        <f>6133/7744</f>
        <v>0.79196797520661155</v>
      </c>
      <c r="I870" t="s">
        <v>760</v>
      </c>
      <c r="J870" t="s">
        <v>762</v>
      </c>
      <c r="K870" s="6">
        <f t="shared" si="22"/>
        <v>0.79196797520661155</v>
      </c>
    </row>
    <row r="871" spans="1:11" x14ac:dyDescent="0.2">
      <c r="A871" s="8" t="s">
        <v>755</v>
      </c>
      <c r="B871">
        <v>2018</v>
      </c>
      <c r="C871" s="8" t="s">
        <v>755</v>
      </c>
      <c r="D871" t="s">
        <v>759</v>
      </c>
      <c r="E871" s="7">
        <f>5399/6862</f>
        <v>0.78679685222967066</v>
      </c>
      <c r="F871" s="7"/>
      <c r="G871" s="7"/>
      <c r="H871" s="7"/>
      <c r="I871" t="s">
        <v>760</v>
      </c>
      <c r="J871" t="s">
        <v>763</v>
      </c>
      <c r="K871" s="6">
        <f t="shared" si="22"/>
        <v>0.78679685222967066</v>
      </c>
    </row>
    <row r="872" spans="1:11" x14ac:dyDescent="0.2">
      <c r="A872" t="s">
        <v>755</v>
      </c>
      <c r="B872">
        <v>2018</v>
      </c>
      <c r="C872" s="8" t="s">
        <v>755</v>
      </c>
      <c r="D872" t="s">
        <v>759</v>
      </c>
      <c r="E872" s="7">
        <f>5399/6862</f>
        <v>0.78679685222967066</v>
      </c>
      <c r="F872" s="7"/>
      <c r="G872" s="7"/>
      <c r="H872" s="7"/>
      <c r="I872" t="s">
        <v>760</v>
      </c>
      <c r="J872" t="s">
        <v>763</v>
      </c>
      <c r="K872" s="6">
        <f t="shared" si="22"/>
        <v>0.78679685222967066</v>
      </c>
    </row>
    <row r="873" spans="1:11" x14ac:dyDescent="0.2">
      <c r="A873" s="9" t="s">
        <v>755</v>
      </c>
      <c r="B873" s="9">
        <v>2019</v>
      </c>
      <c r="C873" s="9" t="s">
        <v>759</v>
      </c>
      <c r="D873" s="9" t="s">
        <v>759</v>
      </c>
      <c r="E873" s="10">
        <f>5399/6862</f>
        <v>0.78679685222967066</v>
      </c>
      <c r="F873" s="10"/>
      <c r="G873" s="10"/>
      <c r="H873" s="10"/>
      <c r="I873" s="9" t="s">
        <v>760</v>
      </c>
      <c r="J873" s="9" t="s">
        <v>763</v>
      </c>
      <c r="K873" s="6">
        <f t="shared" si="22"/>
        <v>0.78679685222967066</v>
      </c>
    </row>
    <row r="874" spans="1:11" x14ac:dyDescent="0.2">
      <c r="A874" s="8" t="s">
        <v>764</v>
      </c>
      <c r="B874">
        <v>2018</v>
      </c>
      <c r="C874" s="8" t="s">
        <v>764</v>
      </c>
      <c r="D874" t="s">
        <v>765</v>
      </c>
      <c r="E874" s="12">
        <f>109887/2697223</f>
        <v>4.0740791547454545E-2</v>
      </c>
      <c r="F874" s="12"/>
      <c r="G874" s="12"/>
      <c r="H874" s="12"/>
      <c r="I874" s="7" t="s">
        <v>766</v>
      </c>
      <c r="J874" t="s">
        <v>767</v>
      </c>
      <c r="K874" s="6">
        <f t="shared" si="22"/>
        <v>4.0740791547454545E-2</v>
      </c>
    </row>
    <row r="875" spans="1:11" x14ac:dyDescent="0.2">
      <c r="A875" s="8" t="s">
        <v>764</v>
      </c>
      <c r="B875">
        <v>2010</v>
      </c>
      <c r="C875" s="8" t="s">
        <v>764</v>
      </c>
      <c r="D875" t="s">
        <v>768</v>
      </c>
      <c r="E875" s="11">
        <f>(76153+86872)/2842436</f>
        <v>5.7353973844969597E-2</v>
      </c>
      <c r="F875" s="11"/>
      <c r="G875" s="11"/>
      <c r="H875" s="11"/>
      <c r="I875" s="5" t="s">
        <v>769</v>
      </c>
      <c r="J875" t="s">
        <v>770</v>
      </c>
      <c r="K875" s="6">
        <f t="shared" si="22"/>
        <v>5.7353973844969597E-2</v>
      </c>
    </row>
    <row r="876" spans="1:11" x14ac:dyDescent="0.2">
      <c r="A876" s="8" t="s">
        <v>764</v>
      </c>
      <c r="B876">
        <v>2015</v>
      </c>
      <c r="C876" s="8" t="s">
        <v>764</v>
      </c>
      <c r="D876" t="s">
        <v>768</v>
      </c>
      <c r="E876" s="11">
        <f>(76153+86872)/2842436</f>
        <v>5.7353973844969597E-2</v>
      </c>
      <c r="F876" s="11"/>
      <c r="G876" s="11"/>
      <c r="H876" s="11"/>
      <c r="I876" s="5" t="s">
        <v>771</v>
      </c>
      <c r="J876" t="s">
        <v>770</v>
      </c>
      <c r="K876" s="6">
        <f t="shared" si="22"/>
        <v>5.7353973844969597E-2</v>
      </c>
    </row>
    <row r="877" spans="1:11" x14ac:dyDescent="0.2">
      <c r="A877" s="8" t="s">
        <v>764</v>
      </c>
      <c r="B877">
        <v>2016</v>
      </c>
      <c r="C877" s="8" t="s">
        <v>764</v>
      </c>
      <c r="D877" t="s">
        <v>768</v>
      </c>
      <c r="E877" s="11">
        <f>(76153+86872)/2842436</f>
        <v>5.7353973844969597E-2</v>
      </c>
      <c r="F877" s="11"/>
      <c r="G877" s="11"/>
      <c r="H877" s="11"/>
      <c r="I877" s="5" t="s">
        <v>766</v>
      </c>
      <c r="J877" t="s">
        <v>770</v>
      </c>
      <c r="K877" s="6">
        <f t="shared" si="22"/>
        <v>5.7353973844969597E-2</v>
      </c>
    </row>
    <row r="878" spans="1:11" x14ac:dyDescent="0.2">
      <c r="A878" s="8" t="s">
        <v>764</v>
      </c>
      <c r="B878">
        <v>2017</v>
      </c>
      <c r="C878" s="8" t="s">
        <v>764</v>
      </c>
      <c r="D878" t="s">
        <v>768</v>
      </c>
      <c r="E878" s="11">
        <f>(62914+88886)/2728804</f>
        <v>5.5628766302013632E-2</v>
      </c>
      <c r="F878" s="11"/>
      <c r="G878" s="11"/>
      <c r="H878" s="11"/>
      <c r="I878" s="5" t="s">
        <v>766</v>
      </c>
      <c r="J878" t="s">
        <v>772</v>
      </c>
      <c r="K878" s="6">
        <f t="shared" si="22"/>
        <v>5.5628766302013632E-2</v>
      </c>
    </row>
    <row r="879" spans="1:11" x14ac:dyDescent="0.2">
      <c r="A879" s="8" t="s">
        <v>764</v>
      </c>
      <c r="B879">
        <v>2018</v>
      </c>
      <c r="C879" s="8" t="s">
        <v>764</v>
      </c>
      <c r="D879" t="s">
        <v>768</v>
      </c>
      <c r="E879" s="12">
        <f>109887/2697223</f>
        <v>4.0740791547454545E-2</v>
      </c>
      <c r="F879" s="12"/>
      <c r="G879" s="12"/>
      <c r="H879" s="12"/>
      <c r="I879" s="7" t="s">
        <v>766</v>
      </c>
      <c r="J879" t="s">
        <v>767</v>
      </c>
      <c r="K879" s="6">
        <f t="shared" si="22"/>
        <v>4.0740791547454545E-2</v>
      </c>
    </row>
    <row r="880" spans="1:11" x14ac:dyDescent="0.2">
      <c r="A880" t="s">
        <v>764</v>
      </c>
      <c r="B880">
        <v>2018</v>
      </c>
      <c r="C880" s="8" t="s">
        <v>764</v>
      </c>
      <c r="D880" t="s">
        <v>768</v>
      </c>
      <c r="E880" s="12">
        <f>109887/2697223</f>
        <v>4.0740791547454545E-2</v>
      </c>
      <c r="F880" s="12"/>
      <c r="G880" s="12"/>
      <c r="H880" s="12"/>
      <c r="I880" s="7" t="s">
        <v>766</v>
      </c>
      <c r="J880" t="s">
        <v>767</v>
      </c>
      <c r="K880" s="6">
        <f t="shared" si="22"/>
        <v>4.0740791547454545E-2</v>
      </c>
    </row>
    <row r="881" spans="1:11" x14ac:dyDescent="0.2">
      <c r="A881" t="s">
        <v>764</v>
      </c>
      <c r="B881">
        <v>2018</v>
      </c>
      <c r="C881" t="s">
        <v>773</v>
      </c>
      <c r="D881" t="s">
        <v>773</v>
      </c>
      <c r="E881" s="12">
        <f>109887/2697223</f>
        <v>4.0740791547454545E-2</v>
      </c>
      <c r="F881" s="12"/>
      <c r="G881" s="12"/>
      <c r="H881" s="12"/>
      <c r="I881" s="7" t="s">
        <v>766</v>
      </c>
      <c r="J881" t="s">
        <v>767</v>
      </c>
      <c r="K881" s="6">
        <f t="shared" si="22"/>
        <v>4.0740791547454545E-2</v>
      </c>
    </row>
    <row r="882" spans="1:11" x14ac:dyDescent="0.2">
      <c r="A882" s="9" t="s">
        <v>764</v>
      </c>
      <c r="B882" s="9">
        <v>2019</v>
      </c>
      <c r="C882" s="9" t="s">
        <v>768</v>
      </c>
      <c r="D882" s="9" t="s">
        <v>768</v>
      </c>
      <c r="E882" s="13">
        <f>109887/2697223</f>
        <v>4.0740791547454545E-2</v>
      </c>
      <c r="F882" s="13"/>
      <c r="G882" s="13"/>
      <c r="H882" s="13"/>
      <c r="I882" s="10" t="s">
        <v>766</v>
      </c>
      <c r="J882" s="9" t="s">
        <v>767</v>
      </c>
      <c r="K882" s="6">
        <f t="shared" si="22"/>
        <v>4.0740791547454545E-2</v>
      </c>
    </row>
    <row r="883" spans="1:11" x14ac:dyDescent="0.2">
      <c r="A883" t="s">
        <v>774</v>
      </c>
      <c r="B883">
        <v>2014</v>
      </c>
      <c r="C883" t="s">
        <v>775</v>
      </c>
      <c r="D883" s="15" t="s">
        <v>776</v>
      </c>
      <c r="E883" s="16" t="s">
        <v>137</v>
      </c>
      <c r="F883" s="16" t="s">
        <v>137</v>
      </c>
      <c r="G883" s="16" t="s">
        <v>137</v>
      </c>
      <c r="H883" s="16" t="s">
        <v>137</v>
      </c>
      <c r="K883" s="6">
        <f t="shared" si="22"/>
        <v>0</v>
      </c>
    </row>
    <row r="884" spans="1:11" x14ac:dyDescent="0.2">
      <c r="A884" t="s">
        <v>774</v>
      </c>
      <c r="B884">
        <v>2015</v>
      </c>
      <c r="C884" t="s">
        <v>775</v>
      </c>
      <c r="D884" s="15" t="s">
        <v>776</v>
      </c>
      <c r="E884" s="16" t="s">
        <v>137</v>
      </c>
      <c r="F884" s="16" t="s">
        <v>137</v>
      </c>
      <c r="G884" s="16" t="s">
        <v>137</v>
      </c>
      <c r="H884" s="16" t="s">
        <v>137</v>
      </c>
      <c r="K884" s="6">
        <f t="shared" si="22"/>
        <v>0</v>
      </c>
    </row>
    <row r="885" spans="1:11" x14ac:dyDescent="0.2">
      <c r="A885" t="s">
        <v>774</v>
      </c>
      <c r="B885">
        <v>2012</v>
      </c>
      <c r="C885" t="s">
        <v>775</v>
      </c>
      <c r="D885" s="15" t="s">
        <v>777</v>
      </c>
      <c r="E885" s="16" t="s">
        <v>137</v>
      </c>
      <c r="F885" s="16" t="s">
        <v>137</v>
      </c>
      <c r="G885" s="16" t="s">
        <v>137</v>
      </c>
      <c r="H885" s="16" t="s">
        <v>137</v>
      </c>
      <c r="K885" s="6">
        <f t="shared" si="22"/>
        <v>0</v>
      </c>
    </row>
    <row r="886" spans="1:11" x14ac:dyDescent="0.2">
      <c r="A886" t="s">
        <v>774</v>
      </c>
      <c r="B886">
        <v>2016</v>
      </c>
      <c r="C886" t="s">
        <v>775</v>
      </c>
      <c r="D886" s="15" t="s">
        <v>777</v>
      </c>
      <c r="E886" s="16" t="s">
        <v>137</v>
      </c>
      <c r="F886" s="16" t="s">
        <v>137</v>
      </c>
      <c r="G886" s="16" t="s">
        <v>137</v>
      </c>
      <c r="H886" s="16" t="s">
        <v>137</v>
      </c>
      <c r="K886" s="6">
        <f t="shared" si="22"/>
        <v>0</v>
      </c>
    </row>
    <row r="887" spans="1:11" x14ac:dyDescent="0.2">
      <c r="A887" t="s">
        <v>774</v>
      </c>
      <c r="B887">
        <v>2011</v>
      </c>
      <c r="C887" t="s">
        <v>775</v>
      </c>
      <c r="D887" s="15" t="s">
        <v>778</v>
      </c>
      <c r="E887" s="16" t="s">
        <v>137</v>
      </c>
      <c r="F887" s="16" t="s">
        <v>137</v>
      </c>
      <c r="G887" s="16" t="s">
        <v>137</v>
      </c>
      <c r="H887" s="16" t="s">
        <v>137</v>
      </c>
      <c r="K887" s="6">
        <f t="shared" si="22"/>
        <v>0</v>
      </c>
    </row>
    <row r="888" spans="1:11" x14ac:dyDescent="0.2">
      <c r="A888" t="s">
        <v>774</v>
      </c>
      <c r="B888">
        <v>2012</v>
      </c>
      <c r="C888" t="s">
        <v>775</v>
      </c>
      <c r="D888" s="15" t="s">
        <v>778</v>
      </c>
      <c r="E888" s="16" t="s">
        <v>137</v>
      </c>
      <c r="F888" s="16" t="s">
        <v>137</v>
      </c>
      <c r="G888" s="16" t="s">
        <v>137</v>
      </c>
      <c r="H888" s="16" t="s">
        <v>137</v>
      </c>
      <c r="K888" s="6">
        <f t="shared" si="22"/>
        <v>0</v>
      </c>
    </row>
    <row r="889" spans="1:11" x14ac:dyDescent="0.2">
      <c r="A889" t="s">
        <v>774</v>
      </c>
      <c r="B889">
        <v>2013</v>
      </c>
      <c r="C889" t="s">
        <v>775</v>
      </c>
      <c r="D889" s="15" t="s">
        <v>778</v>
      </c>
      <c r="E889" s="16" t="s">
        <v>137</v>
      </c>
      <c r="F889" s="16" t="s">
        <v>137</v>
      </c>
      <c r="G889" s="16" t="s">
        <v>137</v>
      </c>
      <c r="H889" s="16" t="s">
        <v>137</v>
      </c>
      <c r="K889" s="6">
        <f t="shared" si="22"/>
        <v>0</v>
      </c>
    </row>
    <row r="890" spans="1:11" x14ac:dyDescent="0.2">
      <c r="A890" t="s">
        <v>774</v>
      </c>
      <c r="B890">
        <v>2014</v>
      </c>
      <c r="C890" t="s">
        <v>775</v>
      </c>
      <c r="D890" s="15" t="s">
        <v>778</v>
      </c>
      <c r="E890" s="16" t="s">
        <v>137</v>
      </c>
      <c r="F890" s="16" t="s">
        <v>137</v>
      </c>
      <c r="G890" s="16" t="s">
        <v>137</v>
      </c>
      <c r="H890" s="16" t="s">
        <v>137</v>
      </c>
      <c r="K890" s="6">
        <f t="shared" si="22"/>
        <v>0</v>
      </c>
    </row>
    <row r="891" spans="1:11" x14ac:dyDescent="0.2">
      <c r="A891" t="s">
        <v>774</v>
      </c>
      <c r="B891">
        <v>2015</v>
      </c>
      <c r="C891" t="s">
        <v>775</v>
      </c>
      <c r="D891" s="15" t="s">
        <v>778</v>
      </c>
      <c r="E891" s="16" t="s">
        <v>137</v>
      </c>
      <c r="F891" s="16" t="s">
        <v>137</v>
      </c>
      <c r="G891" s="16" t="s">
        <v>137</v>
      </c>
      <c r="H891" s="16" t="s">
        <v>137</v>
      </c>
      <c r="K891" s="6">
        <f t="shared" si="22"/>
        <v>0</v>
      </c>
    </row>
    <row r="892" spans="1:11" x14ac:dyDescent="0.2">
      <c r="A892" t="s">
        <v>774</v>
      </c>
      <c r="B892">
        <v>2016</v>
      </c>
      <c r="C892" t="s">
        <v>775</v>
      </c>
      <c r="D892" s="15" t="s">
        <v>778</v>
      </c>
      <c r="E892" s="16" t="s">
        <v>137</v>
      </c>
      <c r="F892" s="16" t="s">
        <v>137</v>
      </c>
      <c r="G892" s="16" t="s">
        <v>137</v>
      </c>
      <c r="H892" s="16" t="s">
        <v>137</v>
      </c>
      <c r="K892" s="6">
        <f t="shared" si="22"/>
        <v>0</v>
      </c>
    </row>
    <row r="893" spans="1:11" x14ac:dyDescent="0.2">
      <c r="A893" t="s">
        <v>774</v>
      </c>
      <c r="B893">
        <v>2011</v>
      </c>
      <c r="C893" t="s">
        <v>775</v>
      </c>
      <c r="D893" s="15" t="s">
        <v>779</v>
      </c>
      <c r="E893" s="16" t="s">
        <v>137</v>
      </c>
      <c r="F893" s="16" t="s">
        <v>137</v>
      </c>
      <c r="G893" s="16" t="s">
        <v>137</v>
      </c>
      <c r="H893" s="16" t="s">
        <v>137</v>
      </c>
      <c r="K893" s="6">
        <f t="shared" si="22"/>
        <v>0</v>
      </c>
    </row>
    <row r="894" spans="1:11" x14ac:dyDescent="0.2">
      <c r="A894" t="s">
        <v>774</v>
      </c>
      <c r="B894">
        <v>2012</v>
      </c>
      <c r="C894" t="s">
        <v>775</v>
      </c>
      <c r="D894" s="15" t="s">
        <v>779</v>
      </c>
      <c r="E894" s="16" t="s">
        <v>137</v>
      </c>
      <c r="F894" s="16" t="s">
        <v>137</v>
      </c>
      <c r="G894" s="16" t="s">
        <v>137</v>
      </c>
      <c r="H894" s="16" t="s">
        <v>137</v>
      </c>
      <c r="K894" s="6">
        <f t="shared" si="22"/>
        <v>0</v>
      </c>
    </row>
    <row r="895" spans="1:11" x14ac:dyDescent="0.2">
      <c r="A895" t="s">
        <v>774</v>
      </c>
      <c r="B895">
        <v>2013</v>
      </c>
      <c r="C895" t="s">
        <v>775</v>
      </c>
      <c r="D895" s="15" t="s">
        <v>779</v>
      </c>
      <c r="E895" s="16" t="s">
        <v>137</v>
      </c>
      <c r="F895" s="16" t="s">
        <v>137</v>
      </c>
      <c r="G895" s="16" t="s">
        <v>137</v>
      </c>
      <c r="H895" s="16" t="s">
        <v>137</v>
      </c>
      <c r="K895" s="6">
        <f t="shared" si="22"/>
        <v>0</v>
      </c>
    </row>
    <row r="896" spans="1:11" x14ac:dyDescent="0.2">
      <c r="A896" t="s">
        <v>774</v>
      </c>
      <c r="B896">
        <v>2014</v>
      </c>
      <c r="C896" t="s">
        <v>775</v>
      </c>
      <c r="D896" s="15" t="s">
        <v>779</v>
      </c>
      <c r="E896" s="16" t="s">
        <v>137</v>
      </c>
      <c r="F896" s="16" t="s">
        <v>137</v>
      </c>
      <c r="G896" s="16" t="s">
        <v>137</v>
      </c>
      <c r="H896" s="16" t="s">
        <v>137</v>
      </c>
      <c r="K896" s="6">
        <f t="shared" si="22"/>
        <v>0</v>
      </c>
    </row>
    <row r="897" spans="1:11" x14ac:dyDescent="0.2">
      <c r="A897" t="s">
        <v>774</v>
      </c>
      <c r="B897">
        <v>2015</v>
      </c>
      <c r="C897" t="s">
        <v>775</v>
      </c>
      <c r="D897" s="15" t="s">
        <v>779</v>
      </c>
      <c r="E897" s="16" t="s">
        <v>137</v>
      </c>
      <c r="F897" s="16" t="s">
        <v>137</v>
      </c>
      <c r="G897" s="16" t="s">
        <v>137</v>
      </c>
      <c r="H897" s="16" t="s">
        <v>137</v>
      </c>
      <c r="K897" s="6">
        <f t="shared" si="22"/>
        <v>0</v>
      </c>
    </row>
    <row r="898" spans="1:11" x14ac:dyDescent="0.2">
      <c r="A898" t="s">
        <v>774</v>
      </c>
      <c r="B898">
        <v>2016</v>
      </c>
      <c r="C898" t="s">
        <v>775</v>
      </c>
      <c r="D898" s="15" t="s">
        <v>779</v>
      </c>
      <c r="E898" s="16" t="s">
        <v>137</v>
      </c>
      <c r="F898" s="16" t="s">
        <v>137</v>
      </c>
      <c r="G898" s="16" t="s">
        <v>137</v>
      </c>
      <c r="H898" s="16" t="s">
        <v>137</v>
      </c>
      <c r="K898" s="6">
        <f t="shared" ref="K898:K961" si="23">SUM(E898:H898)</f>
        <v>0</v>
      </c>
    </row>
    <row r="899" spans="1:11" x14ac:dyDescent="0.2">
      <c r="A899" t="s">
        <v>774</v>
      </c>
      <c r="B899">
        <v>2012</v>
      </c>
      <c r="C899" t="s">
        <v>780</v>
      </c>
      <c r="D899" s="15" t="s">
        <v>780</v>
      </c>
      <c r="E899" s="16" t="s">
        <v>137</v>
      </c>
      <c r="F899" s="16" t="s">
        <v>137</v>
      </c>
      <c r="G899" s="16" t="s">
        <v>137</v>
      </c>
      <c r="H899" s="16" t="s">
        <v>137</v>
      </c>
      <c r="K899" s="6">
        <f t="shared" si="23"/>
        <v>0</v>
      </c>
    </row>
    <row r="900" spans="1:11" x14ac:dyDescent="0.2">
      <c r="A900" t="s">
        <v>774</v>
      </c>
      <c r="B900">
        <v>2013</v>
      </c>
      <c r="C900" t="s">
        <v>780</v>
      </c>
      <c r="D900" s="15" t="s">
        <v>780</v>
      </c>
      <c r="E900" s="16" t="s">
        <v>137</v>
      </c>
      <c r="F900" s="16" t="s">
        <v>137</v>
      </c>
      <c r="G900" s="16" t="s">
        <v>137</v>
      </c>
      <c r="H900" s="16" t="s">
        <v>137</v>
      </c>
      <c r="K900" s="6">
        <f t="shared" si="23"/>
        <v>0</v>
      </c>
    </row>
    <row r="901" spans="1:11" x14ac:dyDescent="0.2">
      <c r="A901" t="s">
        <v>774</v>
      </c>
      <c r="B901">
        <v>2011</v>
      </c>
      <c r="C901" t="s">
        <v>775</v>
      </c>
      <c r="D901" s="15" t="s">
        <v>781</v>
      </c>
      <c r="E901" s="16" t="s">
        <v>137</v>
      </c>
      <c r="F901" s="16" t="s">
        <v>137</v>
      </c>
      <c r="G901" s="16" t="s">
        <v>137</v>
      </c>
      <c r="H901" s="16" t="s">
        <v>137</v>
      </c>
      <c r="K901" s="6">
        <f t="shared" si="23"/>
        <v>0</v>
      </c>
    </row>
    <row r="902" spans="1:11" x14ac:dyDescent="0.2">
      <c r="A902" t="s">
        <v>774</v>
      </c>
      <c r="B902">
        <v>2013</v>
      </c>
      <c r="C902" t="s">
        <v>775</v>
      </c>
      <c r="D902" s="15" t="s">
        <v>781</v>
      </c>
      <c r="E902" s="16" t="s">
        <v>137</v>
      </c>
      <c r="F902" s="16" t="s">
        <v>137</v>
      </c>
      <c r="G902" s="16" t="s">
        <v>137</v>
      </c>
      <c r="H902" s="16" t="s">
        <v>137</v>
      </c>
      <c r="K902" s="6">
        <f t="shared" si="23"/>
        <v>0</v>
      </c>
    </row>
    <row r="903" spans="1:11" x14ac:dyDescent="0.2">
      <c r="A903" t="s">
        <v>774</v>
      </c>
      <c r="B903">
        <v>2014</v>
      </c>
      <c r="C903" t="s">
        <v>775</v>
      </c>
      <c r="D903" s="15" t="s">
        <v>781</v>
      </c>
      <c r="E903" s="16" t="s">
        <v>137</v>
      </c>
      <c r="F903" s="16" t="s">
        <v>137</v>
      </c>
      <c r="G903" s="16" t="s">
        <v>137</v>
      </c>
      <c r="H903" s="16" t="s">
        <v>137</v>
      </c>
      <c r="K903" s="6">
        <f t="shared" si="23"/>
        <v>0</v>
      </c>
    </row>
    <row r="904" spans="1:11" x14ac:dyDescent="0.2">
      <c r="A904" t="s">
        <v>774</v>
      </c>
      <c r="B904">
        <v>2016</v>
      </c>
      <c r="C904" t="s">
        <v>775</v>
      </c>
      <c r="D904" s="15" t="s">
        <v>781</v>
      </c>
      <c r="E904" s="16" t="s">
        <v>137</v>
      </c>
      <c r="F904" s="16" t="s">
        <v>137</v>
      </c>
      <c r="G904" s="16" t="s">
        <v>137</v>
      </c>
      <c r="H904" s="16" t="s">
        <v>137</v>
      </c>
      <c r="K904" s="6">
        <f t="shared" si="23"/>
        <v>0</v>
      </c>
    </row>
    <row r="905" spans="1:11" x14ac:dyDescent="0.2">
      <c r="A905" t="s">
        <v>774</v>
      </c>
      <c r="B905">
        <v>2010</v>
      </c>
      <c r="C905" t="s">
        <v>775</v>
      </c>
      <c r="D905" s="15" t="s">
        <v>782</v>
      </c>
      <c r="E905" s="16" t="s">
        <v>137</v>
      </c>
      <c r="F905" s="16" t="s">
        <v>137</v>
      </c>
      <c r="G905" s="16" t="s">
        <v>137</v>
      </c>
      <c r="H905" s="16" t="s">
        <v>137</v>
      </c>
      <c r="K905" s="6">
        <f t="shared" si="23"/>
        <v>0</v>
      </c>
    </row>
    <row r="906" spans="1:11" x14ac:dyDescent="0.2">
      <c r="A906" t="s">
        <v>774</v>
      </c>
      <c r="B906">
        <v>2010</v>
      </c>
      <c r="C906" t="s">
        <v>775</v>
      </c>
      <c r="D906" s="15" t="s">
        <v>783</v>
      </c>
      <c r="E906" s="16" t="s">
        <v>137</v>
      </c>
      <c r="F906" s="16" t="s">
        <v>137</v>
      </c>
      <c r="G906" s="16" t="s">
        <v>137</v>
      </c>
      <c r="H906" s="16" t="s">
        <v>137</v>
      </c>
      <c r="K906" s="6">
        <f t="shared" si="23"/>
        <v>0</v>
      </c>
    </row>
    <row r="907" spans="1:11" x14ac:dyDescent="0.2">
      <c r="A907" t="s">
        <v>774</v>
      </c>
      <c r="B907">
        <v>2013</v>
      </c>
      <c r="C907" t="s">
        <v>784</v>
      </c>
      <c r="D907" s="15" t="s">
        <v>784</v>
      </c>
      <c r="E907" s="16" t="s">
        <v>137</v>
      </c>
      <c r="F907" s="16" t="s">
        <v>137</v>
      </c>
      <c r="G907" s="16" t="s">
        <v>137</v>
      </c>
      <c r="H907" s="16" t="s">
        <v>137</v>
      </c>
      <c r="K907" s="6">
        <f t="shared" si="23"/>
        <v>0</v>
      </c>
    </row>
    <row r="908" spans="1:11" x14ac:dyDescent="0.2">
      <c r="A908" t="s">
        <v>774</v>
      </c>
      <c r="B908">
        <v>2014</v>
      </c>
      <c r="C908" t="s">
        <v>784</v>
      </c>
      <c r="D908" s="15" t="s">
        <v>784</v>
      </c>
      <c r="E908" s="16" t="s">
        <v>137</v>
      </c>
      <c r="F908" s="16" t="s">
        <v>137</v>
      </c>
      <c r="G908" s="16" t="s">
        <v>137</v>
      </c>
      <c r="H908" s="16" t="s">
        <v>137</v>
      </c>
      <c r="K908" s="6">
        <f t="shared" si="23"/>
        <v>0</v>
      </c>
    </row>
    <row r="909" spans="1:11" x14ac:dyDescent="0.2">
      <c r="A909" t="s">
        <v>774</v>
      </c>
      <c r="B909">
        <v>2015</v>
      </c>
      <c r="C909" t="s">
        <v>784</v>
      </c>
      <c r="D909" s="15" t="s">
        <v>784</v>
      </c>
      <c r="E909" s="16" t="s">
        <v>137</v>
      </c>
      <c r="F909" s="16" t="s">
        <v>137</v>
      </c>
      <c r="G909" s="16" t="s">
        <v>137</v>
      </c>
      <c r="H909" s="16" t="s">
        <v>137</v>
      </c>
      <c r="K909" s="6">
        <f t="shared" si="23"/>
        <v>0</v>
      </c>
    </row>
    <row r="910" spans="1:11" x14ac:dyDescent="0.2">
      <c r="A910" t="s">
        <v>774</v>
      </c>
      <c r="B910">
        <v>2016</v>
      </c>
      <c r="C910" t="s">
        <v>784</v>
      </c>
      <c r="D910" s="15" t="s">
        <v>784</v>
      </c>
      <c r="E910" s="16" t="s">
        <v>137</v>
      </c>
      <c r="F910" s="16" t="s">
        <v>137</v>
      </c>
      <c r="G910" s="16" t="s">
        <v>137</v>
      </c>
      <c r="H910" s="16" t="s">
        <v>137</v>
      </c>
      <c r="K910" s="6">
        <f t="shared" si="23"/>
        <v>0</v>
      </c>
    </row>
    <row r="911" spans="1:11" x14ac:dyDescent="0.2">
      <c r="A911" t="s">
        <v>774</v>
      </c>
      <c r="B911">
        <v>2014</v>
      </c>
      <c r="C911" t="s">
        <v>775</v>
      </c>
      <c r="D911" s="15" t="s">
        <v>785</v>
      </c>
      <c r="E911" s="16" t="s">
        <v>137</v>
      </c>
      <c r="F911" s="16" t="s">
        <v>137</v>
      </c>
      <c r="G911" s="16" t="s">
        <v>137</v>
      </c>
      <c r="H911" s="16" t="s">
        <v>137</v>
      </c>
      <c r="K911" s="6">
        <f t="shared" si="23"/>
        <v>0</v>
      </c>
    </row>
    <row r="912" spans="1:11" x14ac:dyDescent="0.2">
      <c r="A912" t="s">
        <v>774</v>
      </c>
      <c r="B912">
        <v>2010</v>
      </c>
      <c r="C912" t="s">
        <v>775</v>
      </c>
      <c r="D912" s="15" t="s">
        <v>786</v>
      </c>
      <c r="E912" s="16" t="s">
        <v>137</v>
      </c>
      <c r="F912" s="16" t="s">
        <v>137</v>
      </c>
      <c r="G912" s="16" t="s">
        <v>137</v>
      </c>
      <c r="H912" s="16" t="s">
        <v>137</v>
      </c>
      <c r="K912" s="6">
        <f t="shared" si="23"/>
        <v>0</v>
      </c>
    </row>
    <row r="913" spans="1:11" x14ac:dyDescent="0.2">
      <c r="A913" t="s">
        <v>787</v>
      </c>
      <c r="B913">
        <v>2010</v>
      </c>
      <c r="C913" t="s">
        <v>788</v>
      </c>
      <c r="D913" t="s">
        <v>788</v>
      </c>
      <c r="F913" s="5">
        <f>(5894/87843)/2</f>
        <v>3.3548489919515499E-2</v>
      </c>
      <c r="G913" s="5">
        <f>(459/87843)/5</f>
        <v>1.0450462757419488E-3</v>
      </c>
      <c r="H913" s="5">
        <f>(5894/87843)/2</f>
        <v>3.3548489919515499E-2</v>
      </c>
      <c r="I913" t="s">
        <v>789</v>
      </c>
      <c r="J913" t="s">
        <v>790</v>
      </c>
      <c r="K913" s="6">
        <f t="shared" si="23"/>
        <v>6.8142026114772949E-2</v>
      </c>
    </row>
    <row r="914" spans="1:11" x14ac:dyDescent="0.2">
      <c r="A914" t="s">
        <v>787</v>
      </c>
      <c r="B914">
        <v>2011</v>
      </c>
      <c r="C914" t="s">
        <v>788</v>
      </c>
      <c r="D914" t="s">
        <v>788</v>
      </c>
      <c r="F914" s="5">
        <f>(3980/91457)/2</f>
        <v>2.1758859354669407E-2</v>
      </c>
      <c r="G914" s="5">
        <f>(471/91457)/5</f>
        <v>1.0299922367888734E-3</v>
      </c>
      <c r="H914" s="5">
        <f>(3980/91457)/2</f>
        <v>2.1758859354669407E-2</v>
      </c>
      <c r="I914" t="s">
        <v>791</v>
      </c>
      <c r="J914" t="s">
        <v>792</v>
      </c>
      <c r="K914" s="6">
        <f t="shared" si="23"/>
        <v>4.4547710946127687E-2</v>
      </c>
    </row>
    <row r="915" spans="1:11" x14ac:dyDescent="0.2">
      <c r="A915" t="s">
        <v>787</v>
      </c>
      <c r="B915">
        <v>2012</v>
      </c>
      <c r="C915" t="s">
        <v>788</v>
      </c>
      <c r="D915" t="s">
        <v>788</v>
      </c>
      <c r="F915" s="5">
        <f>(5724/142891)/2</f>
        <v>2.0029253067023117E-2</v>
      </c>
      <c r="G915" s="5">
        <f>(539/142891)/5</f>
        <v>7.5442120217508453E-4</v>
      </c>
      <c r="H915" s="5">
        <f>(5724/142891)/2</f>
        <v>2.0029253067023117E-2</v>
      </c>
      <c r="I915" t="s">
        <v>791</v>
      </c>
      <c r="J915" t="s">
        <v>793</v>
      </c>
      <c r="K915" s="6">
        <f t="shared" si="23"/>
        <v>4.0812927336221314E-2</v>
      </c>
    </row>
    <row r="916" spans="1:11" x14ac:dyDescent="0.2">
      <c r="A916" t="s">
        <v>787</v>
      </c>
      <c r="B916">
        <v>2013</v>
      </c>
      <c r="C916" t="s">
        <v>788</v>
      </c>
      <c r="D916" t="s">
        <v>788</v>
      </c>
      <c r="F916" s="5">
        <f>(492657/6115783)/4</f>
        <v>2.0138754105565877E-2</v>
      </c>
      <c r="G916" s="5">
        <f>(492657/6115783)/4</f>
        <v>2.0138754105565877E-2</v>
      </c>
      <c r="H916" s="5">
        <f>(492657/6115783)/4</f>
        <v>2.0138754105565877E-2</v>
      </c>
      <c r="I916" t="s">
        <v>794</v>
      </c>
      <c r="J916" t="s">
        <v>795</v>
      </c>
      <c r="K916" s="6">
        <f t="shared" si="23"/>
        <v>6.0416262316697632E-2</v>
      </c>
    </row>
    <row r="917" spans="1:11" x14ac:dyDescent="0.2">
      <c r="A917" t="s">
        <v>787</v>
      </c>
      <c r="B917">
        <v>2014</v>
      </c>
      <c r="C917" t="s">
        <v>788</v>
      </c>
      <c r="D917" t="s">
        <v>788</v>
      </c>
      <c r="F917" s="5">
        <f>(490489/7255380)/4</f>
        <v>1.6900872180368225E-2</v>
      </c>
      <c r="G917" s="5">
        <f>(490489/7255380)/4</f>
        <v>1.6900872180368225E-2</v>
      </c>
      <c r="H917" s="5">
        <f>(490489/7255380)/4</f>
        <v>1.6900872180368225E-2</v>
      </c>
      <c r="I917" t="s">
        <v>794</v>
      </c>
      <c r="J917" t="s">
        <v>796</v>
      </c>
      <c r="K917" s="6">
        <f t="shared" si="23"/>
        <v>5.0702616541104674E-2</v>
      </c>
    </row>
    <row r="918" spans="1:11" x14ac:dyDescent="0.2">
      <c r="A918" t="s">
        <v>787</v>
      </c>
      <c r="B918">
        <v>2015</v>
      </c>
      <c r="C918" t="s">
        <v>788</v>
      </c>
      <c r="D918" t="s">
        <v>788</v>
      </c>
      <c r="F918" s="5">
        <f>(((1032152/7673064)*(16.9/18.8))/3)</f>
        <v>4.0307182196379729E-2</v>
      </c>
      <c r="H918" s="5">
        <f>(((1032152/7673064)*(16.9/18.8))/3)</f>
        <v>4.0307182196379729E-2</v>
      </c>
      <c r="I918" t="s">
        <v>797</v>
      </c>
      <c r="J918" t="s">
        <v>798</v>
      </c>
      <c r="K918" s="6">
        <f t="shared" si="23"/>
        <v>8.0614364392759458E-2</v>
      </c>
    </row>
    <row r="919" spans="1:11" x14ac:dyDescent="0.2">
      <c r="A919" t="s">
        <v>787</v>
      </c>
      <c r="B919">
        <v>2016</v>
      </c>
      <c r="C919" t="s">
        <v>788</v>
      </c>
      <c r="D919" t="s">
        <v>788</v>
      </c>
      <c r="F919" s="5">
        <f>(((978/7117.686)*(16.1/31))/3)</f>
        <v>2.3787179909222581E-2</v>
      </c>
      <c r="H919" s="5">
        <f>(((978/7117.686)*(16.1/31))/3)</f>
        <v>2.3787179909222581E-2</v>
      </c>
      <c r="I919" t="s">
        <v>797</v>
      </c>
      <c r="J919" t="s">
        <v>799</v>
      </c>
      <c r="K919" s="6">
        <f t="shared" si="23"/>
        <v>4.7574359818445162E-2</v>
      </c>
    </row>
    <row r="920" spans="1:11" x14ac:dyDescent="0.2">
      <c r="A920" t="s">
        <v>787</v>
      </c>
      <c r="B920">
        <v>2017</v>
      </c>
      <c r="C920" t="s">
        <v>788</v>
      </c>
      <c r="D920" t="s">
        <v>788</v>
      </c>
      <c r="F920" s="5">
        <f>(1080307*((21.2/3)/28.7))/(1880421+1080307+1691231+1117558+797380)</f>
        <v>4.0506031405820708E-2</v>
      </c>
      <c r="H920" s="5">
        <f>(1080307*((21.2/3)/28.7))/(1880421+1080307+1691231+1117558+797380)</f>
        <v>4.0506031405820708E-2</v>
      </c>
      <c r="I920" t="s">
        <v>797</v>
      </c>
      <c r="J920" t="s">
        <v>800</v>
      </c>
      <c r="K920" s="6">
        <f t="shared" si="23"/>
        <v>8.1012062811641417E-2</v>
      </c>
    </row>
    <row r="921" spans="1:11" x14ac:dyDescent="0.2">
      <c r="A921" t="s">
        <v>787</v>
      </c>
      <c r="B921">
        <v>2017</v>
      </c>
      <c r="C921" t="s">
        <v>801</v>
      </c>
      <c r="D921" t="s">
        <v>801</v>
      </c>
      <c r="F921" s="5">
        <f>(1080307*((21.2/3)/28.7))/(1880421+1080307+1691231+1117558+797380)</f>
        <v>4.0506031405820708E-2</v>
      </c>
      <c r="H921" s="5">
        <f>(1080307*((21.2/3)/28.7))/(1880421+1080307+1691231+1117558+797380)</f>
        <v>4.0506031405820708E-2</v>
      </c>
      <c r="I921" t="s">
        <v>797</v>
      </c>
      <c r="J921" t="s">
        <v>800</v>
      </c>
      <c r="K921" s="6">
        <f t="shared" si="23"/>
        <v>8.1012062811641417E-2</v>
      </c>
    </row>
    <row r="922" spans="1:11" x14ac:dyDescent="0.2">
      <c r="A922" s="8" t="s">
        <v>787</v>
      </c>
      <c r="B922">
        <v>2018</v>
      </c>
      <c r="C922" s="8" t="s">
        <v>787</v>
      </c>
      <c r="D922" t="s">
        <v>788</v>
      </c>
      <c r="E922" s="7"/>
      <c r="F922" s="7">
        <f>(11.3/3)/(73.5+41.9+21.9+39.6+36.1)</f>
        <v>1.7683881064162757E-2</v>
      </c>
      <c r="G922" s="7"/>
      <c r="H922" s="7">
        <f>(11.3/3)/(73.5+41.9+21.9+39.6+36.1)</f>
        <v>1.7683881064162757E-2</v>
      </c>
      <c r="I922" t="s">
        <v>802</v>
      </c>
      <c r="J922" t="s">
        <v>803</v>
      </c>
      <c r="K922" s="6">
        <f t="shared" si="23"/>
        <v>3.5367762128325514E-2</v>
      </c>
    </row>
    <row r="923" spans="1:11" x14ac:dyDescent="0.2">
      <c r="A923" t="s">
        <v>787</v>
      </c>
      <c r="B923">
        <v>2018</v>
      </c>
      <c r="C923" s="8" t="s">
        <v>787</v>
      </c>
      <c r="D923" t="s">
        <v>788</v>
      </c>
      <c r="E923" s="7"/>
      <c r="F923" s="7">
        <f>(11.3/3)/(73.5+41.9+21.9+39.6+36.1)</f>
        <v>1.7683881064162757E-2</v>
      </c>
      <c r="G923" s="7"/>
      <c r="H923" s="7">
        <f>(11.3/3)/(73.5+41.9+21.9+39.6+36.1)</f>
        <v>1.7683881064162757E-2</v>
      </c>
      <c r="I923" t="s">
        <v>802</v>
      </c>
      <c r="J923" t="s">
        <v>803</v>
      </c>
      <c r="K923" s="6">
        <f t="shared" si="23"/>
        <v>3.5367762128325514E-2</v>
      </c>
    </row>
    <row r="924" spans="1:11" x14ac:dyDescent="0.2">
      <c r="A924" t="s">
        <v>787</v>
      </c>
      <c r="B924">
        <v>2018</v>
      </c>
      <c r="C924" t="s">
        <v>801</v>
      </c>
      <c r="D924" t="s">
        <v>801</v>
      </c>
      <c r="E924" s="7"/>
      <c r="F924" s="7">
        <f>(11.3/3)/(73.5+41.9+21.9+39.6+36.1)</f>
        <v>1.7683881064162757E-2</v>
      </c>
      <c r="G924" s="7"/>
      <c r="H924" s="7">
        <f>(11.3/3)/(73.5+41.9+21.9+39.6+36.1)</f>
        <v>1.7683881064162757E-2</v>
      </c>
      <c r="I924" t="s">
        <v>802</v>
      </c>
      <c r="J924" t="s">
        <v>803</v>
      </c>
      <c r="K924" s="6">
        <f t="shared" si="23"/>
        <v>3.5367762128325514E-2</v>
      </c>
    </row>
    <row r="925" spans="1:11" x14ac:dyDescent="0.2">
      <c r="A925" s="9" t="s">
        <v>787</v>
      </c>
      <c r="B925" s="9">
        <v>2019</v>
      </c>
      <c r="C925" s="9" t="s">
        <v>788</v>
      </c>
      <c r="D925" s="9" t="s">
        <v>788</v>
      </c>
      <c r="E925" s="10"/>
      <c r="F925" s="10">
        <f>(11.3/3)/(73.5+41.9+21.9+39.6+36.1)</f>
        <v>1.7683881064162757E-2</v>
      </c>
      <c r="G925" s="10"/>
      <c r="H925" s="10">
        <f>(11.3/3)/(73.5+41.9+21.9+39.6+36.1)</f>
        <v>1.7683881064162757E-2</v>
      </c>
      <c r="I925" s="9" t="s">
        <v>802</v>
      </c>
      <c r="J925" s="9" t="s">
        <v>803</v>
      </c>
      <c r="K925" s="6">
        <f t="shared" si="23"/>
        <v>3.5367762128325514E-2</v>
      </c>
    </row>
    <row r="926" spans="1:11" x14ac:dyDescent="0.2">
      <c r="A926" t="s">
        <v>787</v>
      </c>
      <c r="B926">
        <v>2015</v>
      </c>
      <c r="C926" t="s">
        <v>804</v>
      </c>
      <c r="D926" t="s">
        <v>804</v>
      </c>
      <c r="E926" s="7"/>
      <c r="F926" s="7">
        <f>(((1032152/7673064)*(16.9/18.8))/3)</f>
        <v>4.0307182196379729E-2</v>
      </c>
      <c r="G926" s="7"/>
      <c r="H926" s="7">
        <f>(((1032152/7673064)*(16.9/18.8))/3)</f>
        <v>4.0307182196379729E-2</v>
      </c>
      <c r="I926" t="s">
        <v>797</v>
      </c>
      <c r="J926" t="s">
        <v>798</v>
      </c>
      <c r="K926" s="6">
        <f t="shared" si="23"/>
        <v>8.0614364392759458E-2</v>
      </c>
    </row>
    <row r="927" spans="1:11" x14ac:dyDescent="0.2">
      <c r="A927" t="s">
        <v>787</v>
      </c>
      <c r="B927">
        <v>2016</v>
      </c>
      <c r="C927" t="s">
        <v>804</v>
      </c>
      <c r="D927" t="s">
        <v>804</v>
      </c>
      <c r="E927" s="7"/>
      <c r="F927" s="7">
        <f>(((978/7117.686)*(16.1/31))/3)</f>
        <v>2.3787179909222581E-2</v>
      </c>
      <c r="G927" s="7"/>
      <c r="H927" s="7">
        <f>(((978/7117.686)*(16.1/31))/3)</f>
        <v>2.3787179909222581E-2</v>
      </c>
      <c r="I927" t="s">
        <v>797</v>
      </c>
      <c r="J927" t="s">
        <v>799</v>
      </c>
      <c r="K927" s="6">
        <f t="shared" si="23"/>
        <v>4.7574359818445162E-2</v>
      </c>
    </row>
    <row r="928" spans="1:11" x14ac:dyDescent="0.2">
      <c r="A928" s="8" t="s">
        <v>787</v>
      </c>
      <c r="B928">
        <v>2018</v>
      </c>
      <c r="C928" s="8" t="s">
        <v>787</v>
      </c>
      <c r="D928" t="s">
        <v>805</v>
      </c>
      <c r="E928" s="7"/>
      <c r="F928" s="7">
        <f>(1080307*((21.2/3)/28.7))/(1880421+1080307+1691231+1117558+797380)</f>
        <v>4.0506031405820708E-2</v>
      </c>
      <c r="G928" s="7"/>
      <c r="H928" s="7">
        <f>(1080307*((21.2/3)/28.7))/(1880421+1080307+1691231+1117558+797380)</f>
        <v>4.0506031405820708E-2</v>
      </c>
      <c r="I928" t="s">
        <v>797</v>
      </c>
      <c r="J928" t="s">
        <v>800</v>
      </c>
      <c r="K928" s="6">
        <f t="shared" si="23"/>
        <v>8.1012062811641417E-2</v>
      </c>
    </row>
    <row r="929" spans="1:11" x14ac:dyDescent="0.2">
      <c r="A929" t="s">
        <v>787</v>
      </c>
      <c r="B929">
        <v>2018</v>
      </c>
      <c r="C929" t="s">
        <v>805</v>
      </c>
      <c r="D929" t="s">
        <v>805</v>
      </c>
      <c r="E929" s="7"/>
      <c r="F929" s="7">
        <f>(11.3/3)/(73.5+41.9+21.9+39.6+36.1)</f>
        <v>1.7683881064162757E-2</v>
      </c>
      <c r="G929" s="7"/>
      <c r="H929" s="7">
        <f>(11.3/3)/(73.5+41.9+21.9+39.6+36.1)</f>
        <v>1.7683881064162757E-2</v>
      </c>
      <c r="I929" t="s">
        <v>802</v>
      </c>
      <c r="J929" t="s">
        <v>803</v>
      </c>
      <c r="K929" s="6">
        <f t="shared" si="23"/>
        <v>3.5367762128325514E-2</v>
      </c>
    </row>
    <row r="930" spans="1:11" x14ac:dyDescent="0.2">
      <c r="A930" s="9" t="s">
        <v>787</v>
      </c>
      <c r="B930" s="9">
        <v>2019</v>
      </c>
      <c r="C930" s="9" t="s">
        <v>805</v>
      </c>
      <c r="D930" s="9" t="s">
        <v>805</v>
      </c>
      <c r="E930" s="10"/>
      <c r="F930" s="10">
        <f>(11.3/3)/(73.5+41.9+21.9+39.6+36.1)</f>
        <v>1.7683881064162757E-2</v>
      </c>
      <c r="G930" s="10"/>
      <c r="H930" s="10">
        <f>(11.3/3)/(73.5+41.9+21.9+39.6+36.1)</f>
        <v>1.7683881064162757E-2</v>
      </c>
      <c r="I930" s="9" t="s">
        <v>802</v>
      </c>
      <c r="J930" s="9" t="s">
        <v>803</v>
      </c>
      <c r="K930" s="6">
        <f t="shared" si="23"/>
        <v>3.5367762128325514E-2</v>
      </c>
    </row>
    <row r="931" spans="1:11" x14ac:dyDescent="0.2">
      <c r="A931" s="9" t="s">
        <v>787</v>
      </c>
      <c r="B931" s="9">
        <v>2019</v>
      </c>
      <c r="C931" s="9" t="s">
        <v>806</v>
      </c>
      <c r="D931" s="9" t="s">
        <v>806</v>
      </c>
      <c r="E931" s="10"/>
      <c r="F931" s="10">
        <f>(11.3/3)/(73.5+41.9+21.9+39.6+36.1)</f>
        <v>1.7683881064162757E-2</v>
      </c>
      <c r="G931" s="10"/>
      <c r="H931" s="10">
        <f>(11.3/3)/(73.5+41.9+21.9+39.6+36.1)</f>
        <v>1.7683881064162757E-2</v>
      </c>
      <c r="I931" s="9" t="s">
        <v>802</v>
      </c>
      <c r="J931" s="9" t="s">
        <v>803</v>
      </c>
      <c r="K931" s="6">
        <f t="shared" si="23"/>
        <v>3.5367762128325514E-2</v>
      </c>
    </row>
    <row r="932" spans="1:11" x14ac:dyDescent="0.2">
      <c r="A932" s="9" t="s">
        <v>787</v>
      </c>
      <c r="B932" s="9">
        <v>2019</v>
      </c>
      <c r="C932" s="9" t="s">
        <v>806</v>
      </c>
      <c r="D932" s="9" t="s">
        <v>806</v>
      </c>
      <c r="E932" s="10"/>
      <c r="F932" s="10">
        <f>(11.3/3)/(73.5+41.9+21.9+39.6+36.1)</f>
        <v>1.7683881064162757E-2</v>
      </c>
      <c r="G932" s="10"/>
      <c r="H932" s="10">
        <f>(11.3/3)/(73.5+41.9+21.9+39.6+36.1)</f>
        <v>1.7683881064162757E-2</v>
      </c>
      <c r="I932" s="9" t="s">
        <v>802</v>
      </c>
      <c r="J932" s="9" t="s">
        <v>803</v>
      </c>
      <c r="K932" s="6">
        <f t="shared" si="23"/>
        <v>3.5367762128325514E-2</v>
      </c>
    </row>
    <row r="933" spans="1:11" x14ac:dyDescent="0.2">
      <c r="A933" t="s">
        <v>787</v>
      </c>
      <c r="B933">
        <v>2012</v>
      </c>
      <c r="C933" t="s">
        <v>788</v>
      </c>
      <c r="D933" t="s">
        <v>807</v>
      </c>
      <c r="F933" s="5">
        <f>(5724/142891)/2</f>
        <v>2.0029253067023117E-2</v>
      </c>
      <c r="G933" s="5">
        <f>(539/142891)/5</f>
        <v>7.5442120217508453E-4</v>
      </c>
      <c r="H933" s="5">
        <f>(5724/142891)/2</f>
        <v>2.0029253067023117E-2</v>
      </c>
      <c r="I933" t="s">
        <v>808</v>
      </c>
      <c r="J933" t="s">
        <v>809</v>
      </c>
      <c r="K933" s="6">
        <f t="shared" si="23"/>
        <v>4.0812927336221314E-2</v>
      </c>
    </row>
    <row r="934" spans="1:11" x14ac:dyDescent="0.2">
      <c r="A934" t="s">
        <v>810</v>
      </c>
      <c r="B934">
        <v>2012</v>
      </c>
      <c r="C934" t="s">
        <v>811</v>
      </c>
      <c r="D934" t="s">
        <v>812</v>
      </c>
      <c r="E934" s="7" t="s">
        <v>137</v>
      </c>
      <c r="F934" s="7" t="s">
        <v>137</v>
      </c>
      <c r="G934" s="7" t="s">
        <v>137</v>
      </c>
      <c r="H934" s="7" t="s">
        <v>137</v>
      </c>
      <c r="K934" s="6">
        <f t="shared" si="23"/>
        <v>0</v>
      </c>
    </row>
    <row r="935" spans="1:11" x14ac:dyDescent="0.2">
      <c r="A935" t="s">
        <v>810</v>
      </c>
      <c r="B935">
        <v>2015</v>
      </c>
      <c r="C935" t="s">
        <v>811</v>
      </c>
      <c r="D935" t="s">
        <v>813</v>
      </c>
      <c r="E935" s="7" t="s">
        <v>137</v>
      </c>
      <c r="F935" s="7" t="s">
        <v>137</v>
      </c>
      <c r="G935" s="7" t="s">
        <v>137</v>
      </c>
      <c r="H935" s="7" t="s">
        <v>137</v>
      </c>
      <c r="K935" s="6">
        <f t="shared" si="23"/>
        <v>0</v>
      </c>
    </row>
    <row r="936" spans="1:11" x14ac:dyDescent="0.2">
      <c r="A936" t="s">
        <v>810</v>
      </c>
      <c r="B936">
        <v>2010</v>
      </c>
      <c r="C936" t="s">
        <v>811</v>
      </c>
      <c r="D936" t="s">
        <v>811</v>
      </c>
      <c r="E936" s="7" t="s">
        <v>137</v>
      </c>
      <c r="F936" s="7" t="s">
        <v>137</v>
      </c>
      <c r="G936" s="7" t="s">
        <v>137</v>
      </c>
      <c r="H936" s="7" t="s">
        <v>137</v>
      </c>
      <c r="K936" s="6">
        <f t="shared" si="23"/>
        <v>0</v>
      </c>
    </row>
    <row r="937" spans="1:11" x14ac:dyDescent="0.2">
      <c r="A937" t="s">
        <v>810</v>
      </c>
      <c r="B937">
        <v>2011</v>
      </c>
      <c r="C937" t="s">
        <v>811</v>
      </c>
      <c r="D937" t="s">
        <v>811</v>
      </c>
      <c r="E937" s="7" t="s">
        <v>137</v>
      </c>
      <c r="F937" s="7" t="s">
        <v>137</v>
      </c>
      <c r="G937" s="7" t="s">
        <v>137</v>
      </c>
      <c r="H937" s="7" t="s">
        <v>137</v>
      </c>
      <c r="K937" s="6">
        <f t="shared" si="23"/>
        <v>0</v>
      </c>
    </row>
    <row r="938" spans="1:11" x14ac:dyDescent="0.2">
      <c r="A938" t="s">
        <v>810</v>
      </c>
      <c r="B938">
        <v>2012</v>
      </c>
      <c r="C938" t="s">
        <v>811</v>
      </c>
      <c r="D938" t="s">
        <v>811</v>
      </c>
      <c r="E938" s="7" t="s">
        <v>137</v>
      </c>
      <c r="F938" s="7" t="s">
        <v>137</v>
      </c>
      <c r="G938" s="7" t="s">
        <v>137</v>
      </c>
      <c r="H938" s="7" t="s">
        <v>137</v>
      </c>
      <c r="K938" s="6">
        <f t="shared" si="23"/>
        <v>0</v>
      </c>
    </row>
    <row r="939" spans="1:11" x14ac:dyDescent="0.2">
      <c r="A939" t="s">
        <v>810</v>
      </c>
      <c r="B939">
        <v>2013</v>
      </c>
      <c r="C939" t="s">
        <v>811</v>
      </c>
      <c r="D939" t="s">
        <v>811</v>
      </c>
      <c r="E939" s="7" t="s">
        <v>137</v>
      </c>
      <c r="F939" s="7" t="s">
        <v>137</v>
      </c>
      <c r="G939" s="7" t="s">
        <v>137</v>
      </c>
      <c r="H939" s="7" t="s">
        <v>137</v>
      </c>
      <c r="K939" s="6">
        <f t="shared" si="23"/>
        <v>0</v>
      </c>
    </row>
    <row r="940" spans="1:11" x14ac:dyDescent="0.2">
      <c r="A940" t="s">
        <v>810</v>
      </c>
      <c r="B940">
        <v>2014</v>
      </c>
      <c r="C940" t="s">
        <v>811</v>
      </c>
      <c r="D940" t="s">
        <v>811</v>
      </c>
      <c r="E940" s="7" t="s">
        <v>137</v>
      </c>
      <c r="F940" s="7" t="s">
        <v>137</v>
      </c>
      <c r="G940" s="7" t="s">
        <v>137</v>
      </c>
      <c r="H940" s="7" t="s">
        <v>137</v>
      </c>
      <c r="K940" s="6">
        <f t="shared" si="23"/>
        <v>0</v>
      </c>
    </row>
    <row r="941" spans="1:11" x14ac:dyDescent="0.2">
      <c r="A941" t="s">
        <v>810</v>
      </c>
      <c r="B941">
        <v>2015</v>
      </c>
      <c r="C941" t="s">
        <v>811</v>
      </c>
      <c r="D941" t="s">
        <v>811</v>
      </c>
      <c r="E941" s="7" t="s">
        <v>137</v>
      </c>
      <c r="F941" s="7" t="s">
        <v>137</v>
      </c>
      <c r="G941" s="7" t="s">
        <v>137</v>
      </c>
      <c r="H941" s="7" t="s">
        <v>137</v>
      </c>
      <c r="K941" s="6">
        <f t="shared" si="23"/>
        <v>0</v>
      </c>
    </row>
    <row r="942" spans="1:11" x14ac:dyDescent="0.2">
      <c r="A942" t="s">
        <v>810</v>
      </c>
      <c r="B942">
        <v>2016</v>
      </c>
      <c r="C942" t="s">
        <v>811</v>
      </c>
      <c r="D942" t="s">
        <v>811</v>
      </c>
      <c r="E942" s="7" t="s">
        <v>137</v>
      </c>
      <c r="F942" s="7" t="s">
        <v>137</v>
      </c>
      <c r="G942" s="7" t="s">
        <v>137</v>
      </c>
      <c r="H942" s="7" t="s">
        <v>137</v>
      </c>
      <c r="K942" s="6">
        <f t="shared" si="23"/>
        <v>0</v>
      </c>
    </row>
    <row r="943" spans="1:11" x14ac:dyDescent="0.2">
      <c r="A943" t="s">
        <v>810</v>
      </c>
      <c r="B943">
        <v>2018</v>
      </c>
      <c r="C943" t="s">
        <v>814</v>
      </c>
      <c r="D943" t="s">
        <v>814</v>
      </c>
      <c r="E943" s="7" t="s">
        <v>137</v>
      </c>
      <c r="F943" s="7" t="s">
        <v>137</v>
      </c>
      <c r="G943" s="7" t="s">
        <v>137</v>
      </c>
      <c r="H943" s="7" t="s">
        <v>137</v>
      </c>
      <c r="I943" t="s">
        <v>797</v>
      </c>
      <c r="J943" t="s">
        <v>800</v>
      </c>
      <c r="K943" s="6">
        <f t="shared" si="23"/>
        <v>0</v>
      </c>
    </row>
    <row r="944" spans="1:11" x14ac:dyDescent="0.2">
      <c r="A944" t="s">
        <v>810</v>
      </c>
      <c r="B944">
        <v>2018</v>
      </c>
      <c r="C944" t="s">
        <v>814</v>
      </c>
      <c r="D944" t="s">
        <v>814</v>
      </c>
      <c r="E944" s="7" t="s">
        <v>137</v>
      </c>
      <c r="F944" s="7" t="s">
        <v>137</v>
      </c>
      <c r="G944" s="7" t="s">
        <v>137</v>
      </c>
      <c r="H944" s="7" t="s">
        <v>137</v>
      </c>
      <c r="K944" s="6">
        <f t="shared" si="23"/>
        <v>0</v>
      </c>
    </row>
    <row r="945" spans="1:11" x14ac:dyDescent="0.2">
      <c r="A945" t="s">
        <v>810</v>
      </c>
      <c r="B945">
        <v>2010</v>
      </c>
      <c r="C945" t="s">
        <v>811</v>
      </c>
      <c r="D945" t="s">
        <v>815</v>
      </c>
      <c r="E945" s="7" t="s">
        <v>137</v>
      </c>
      <c r="F945" s="7" t="s">
        <v>137</v>
      </c>
      <c r="G945" s="7" t="s">
        <v>137</v>
      </c>
      <c r="H945" s="7" t="s">
        <v>137</v>
      </c>
      <c r="K945" s="6">
        <f t="shared" si="23"/>
        <v>0</v>
      </c>
    </row>
    <row r="946" spans="1:11" x14ac:dyDescent="0.2">
      <c r="A946" t="s">
        <v>810</v>
      </c>
      <c r="B946">
        <v>2012</v>
      </c>
      <c r="C946" t="s">
        <v>811</v>
      </c>
      <c r="D946" t="s">
        <v>815</v>
      </c>
      <c r="E946" s="7" t="s">
        <v>137</v>
      </c>
      <c r="F946" s="7" t="s">
        <v>137</v>
      </c>
      <c r="G946" s="7" t="s">
        <v>137</v>
      </c>
      <c r="H946" s="7" t="s">
        <v>137</v>
      </c>
      <c r="K946" s="6">
        <f t="shared" si="23"/>
        <v>0</v>
      </c>
    </row>
    <row r="947" spans="1:11" x14ac:dyDescent="0.2">
      <c r="A947" t="s">
        <v>810</v>
      </c>
      <c r="B947">
        <v>2014</v>
      </c>
      <c r="C947" t="s">
        <v>811</v>
      </c>
      <c r="D947" t="s">
        <v>815</v>
      </c>
      <c r="E947" s="7" t="s">
        <v>137</v>
      </c>
      <c r="F947" s="7" t="s">
        <v>137</v>
      </c>
      <c r="G947" s="7" t="s">
        <v>137</v>
      </c>
      <c r="H947" s="7" t="s">
        <v>137</v>
      </c>
      <c r="K947" s="6">
        <f t="shared" si="23"/>
        <v>0</v>
      </c>
    </row>
    <row r="948" spans="1:11" x14ac:dyDescent="0.2">
      <c r="A948" t="s">
        <v>810</v>
      </c>
      <c r="B948">
        <v>2016</v>
      </c>
      <c r="C948" t="s">
        <v>811</v>
      </c>
      <c r="D948" t="s">
        <v>815</v>
      </c>
      <c r="E948" s="7" t="s">
        <v>137</v>
      </c>
      <c r="F948" s="7" t="s">
        <v>137</v>
      </c>
      <c r="G948" s="7" t="s">
        <v>137</v>
      </c>
      <c r="H948" s="7" t="s">
        <v>137</v>
      </c>
      <c r="K948" s="6">
        <f t="shared" si="23"/>
        <v>0</v>
      </c>
    </row>
    <row r="949" spans="1:11" x14ac:dyDescent="0.2">
      <c r="A949" t="s">
        <v>810</v>
      </c>
      <c r="B949">
        <v>2011</v>
      </c>
      <c r="C949" t="s">
        <v>816</v>
      </c>
      <c r="D949" t="s">
        <v>816</v>
      </c>
      <c r="E949" s="7" t="s">
        <v>137</v>
      </c>
      <c r="F949" s="7" t="s">
        <v>137</v>
      </c>
      <c r="G949" s="7" t="s">
        <v>137</v>
      </c>
      <c r="H949" s="7" t="s">
        <v>137</v>
      </c>
      <c r="K949" s="6">
        <f t="shared" si="23"/>
        <v>0</v>
      </c>
    </row>
    <row r="950" spans="1:11" x14ac:dyDescent="0.2">
      <c r="A950" t="s">
        <v>810</v>
      </c>
      <c r="B950">
        <v>2015</v>
      </c>
      <c r="C950" t="s">
        <v>817</v>
      </c>
      <c r="D950" t="s">
        <v>817</v>
      </c>
      <c r="E950" s="7" t="s">
        <v>137</v>
      </c>
      <c r="F950" s="7" t="s">
        <v>137</v>
      </c>
      <c r="G950" s="7" t="s">
        <v>137</v>
      </c>
      <c r="H950" s="7" t="s">
        <v>137</v>
      </c>
      <c r="K950" s="6">
        <f t="shared" si="23"/>
        <v>0</v>
      </c>
    </row>
    <row r="951" spans="1:11" x14ac:dyDescent="0.2">
      <c r="A951" t="s">
        <v>810</v>
      </c>
      <c r="B951">
        <v>2016</v>
      </c>
      <c r="C951" t="s">
        <v>817</v>
      </c>
      <c r="D951" t="s">
        <v>817</v>
      </c>
      <c r="E951" s="7" t="s">
        <v>137</v>
      </c>
      <c r="F951" s="7" t="s">
        <v>137</v>
      </c>
      <c r="G951" s="7" t="s">
        <v>137</v>
      </c>
      <c r="H951" s="7" t="s">
        <v>137</v>
      </c>
      <c r="K951" s="6">
        <f t="shared" si="23"/>
        <v>0</v>
      </c>
    </row>
    <row r="952" spans="1:11" x14ac:dyDescent="0.2">
      <c r="A952" t="s">
        <v>810</v>
      </c>
      <c r="B952">
        <v>2010</v>
      </c>
      <c r="C952" t="s">
        <v>811</v>
      </c>
      <c r="D952" t="s">
        <v>818</v>
      </c>
      <c r="E952" s="7" t="s">
        <v>137</v>
      </c>
      <c r="F952" s="7" t="s">
        <v>137</v>
      </c>
      <c r="G952" s="7" t="s">
        <v>137</v>
      </c>
      <c r="H952" s="7" t="s">
        <v>137</v>
      </c>
      <c r="K952" s="6">
        <f t="shared" si="23"/>
        <v>0</v>
      </c>
    </row>
    <row r="953" spans="1:11" x14ac:dyDescent="0.2">
      <c r="A953" t="s">
        <v>819</v>
      </c>
      <c r="B953">
        <v>2010</v>
      </c>
      <c r="C953" t="s">
        <v>820</v>
      </c>
      <c r="D953" t="s">
        <v>821</v>
      </c>
      <c r="E953" s="7" t="s">
        <v>137</v>
      </c>
      <c r="F953" s="7" t="s">
        <v>137</v>
      </c>
      <c r="G953" s="7" t="s">
        <v>137</v>
      </c>
      <c r="H953" s="7" t="s">
        <v>137</v>
      </c>
      <c r="K953" s="6">
        <f t="shared" si="23"/>
        <v>0</v>
      </c>
    </row>
    <row r="954" spans="1:11" x14ac:dyDescent="0.2">
      <c r="A954" t="s">
        <v>819</v>
      </c>
      <c r="B954">
        <v>2011</v>
      </c>
      <c r="C954" t="s">
        <v>820</v>
      </c>
      <c r="D954" t="s">
        <v>821</v>
      </c>
      <c r="E954" s="7" t="s">
        <v>137</v>
      </c>
      <c r="F954" s="7" t="s">
        <v>137</v>
      </c>
      <c r="G954" s="7" t="s">
        <v>137</v>
      </c>
      <c r="H954" s="7" t="s">
        <v>137</v>
      </c>
      <c r="K954" s="6">
        <f t="shared" si="23"/>
        <v>0</v>
      </c>
    </row>
    <row r="955" spans="1:11" x14ac:dyDescent="0.2">
      <c r="A955" t="s">
        <v>819</v>
      </c>
      <c r="B955">
        <v>2012</v>
      </c>
      <c r="C955" t="s">
        <v>820</v>
      </c>
      <c r="D955" t="s">
        <v>821</v>
      </c>
      <c r="E955" s="7" t="s">
        <v>137</v>
      </c>
      <c r="F955" s="7" t="s">
        <v>137</v>
      </c>
      <c r="G955" s="7" t="s">
        <v>137</v>
      </c>
      <c r="H955" s="7" t="s">
        <v>137</v>
      </c>
      <c r="K955" s="6">
        <f t="shared" si="23"/>
        <v>0</v>
      </c>
    </row>
    <row r="956" spans="1:11" x14ac:dyDescent="0.2">
      <c r="A956" t="s">
        <v>819</v>
      </c>
      <c r="B956">
        <v>2013</v>
      </c>
      <c r="C956" t="s">
        <v>820</v>
      </c>
      <c r="D956" t="s">
        <v>821</v>
      </c>
      <c r="E956" s="7" t="s">
        <v>137</v>
      </c>
      <c r="F956" s="7" t="s">
        <v>137</v>
      </c>
      <c r="G956" s="7" t="s">
        <v>137</v>
      </c>
      <c r="H956" s="7" t="s">
        <v>137</v>
      </c>
      <c r="K956" s="6">
        <f t="shared" si="23"/>
        <v>0</v>
      </c>
    </row>
    <row r="957" spans="1:11" x14ac:dyDescent="0.2">
      <c r="A957" t="s">
        <v>819</v>
      </c>
      <c r="B957">
        <v>2014</v>
      </c>
      <c r="C957" t="s">
        <v>820</v>
      </c>
      <c r="D957" t="s">
        <v>821</v>
      </c>
      <c r="E957" s="7" t="s">
        <v>137</v>
      </c>
      <c r="F957" s="7" t="s">
        <v>137</v>
      </c>
      <c r="G957" s="7" t="s">
        <v>137</v>
      </c>
      <c r="H957" s="7" t="s">
        <v>137</v>
      </c>
      <c r="K957" s="6">
        <f t="shared" si="23"/>
        <v>0</v>
      </c>
    </row>
    <row r="958" spans="1:11" x14ac:dyDescent="0.2">
      <c r="A958" t="s">
        <v>819</v>
      </c>
      <c r="B958">
        <v>2010</v>
      </c>
      <c r="C958" t="s">
        <v>820</v>
      </c>
      <c r="D958" t="s">
        <v>820</v>
      </c>
      <c r="E958" s="7" t="s">
        <v>137</v>
      </c>
      <c r="F958" s="7" t="s">
        <v>137</v>
      </c>
      <c r="G958" s="7" t="s">
        <v>137</v>
      </c>
      <c r="H958" s="7" t="s">
        <v>137</v>
      </c>
      <c r="K958" s="6">
        <f t="shared" si="23"/>
        <v>0</v>
      </c>
    </row>
    <row r="959" spans="1:11" x14ac:dyDescent="0.2">
      <c r="A959" t="s">
        <v>819</v>
      </c>
      <c r="B959">
        <v>2012</v>
      </c>
      <c r="C959" t="s">
        <v>820</v>
      </c>
      <c r="D959" t="s">
        <v>820</v>
      </c>
      <c r="E959" s="7" t="s">
        <v>137</v>
      </c>
      <c r="F959" s="7" t="s">
        <v>137</v>
      </c>
      <c r="G959" s="7" t="s">
        <v>137</v>
      </c>
      <c r="H959" s="7" t="s">
        <v>137</v>
      </c>
      <c r="K959" s="6">
        <f t="shared" si="23"/>
        <v>0</v>
      </c>
    </row>
    <row r="960" spans="1:11" x14ac:dyDescent="0.2">
      <c r="A960" t="s">
        <v>819</v>
      </c>
      <c r="B960">
        <v>2015</v>
      </c>
      <c r="C960" t="s">
        <v>820</v>
      </c>
      <c r="D960" t="s">
        <v>820</v>
      </c>
      <c r="E960" s="7" t="s">
        <v>137</v>
      </c>
      <c r="F960" s="7" t="s">
        <v>137</v>
      </c>
      <c r="G960" s="7" t="s">
        <v>137</v>
      </c>
      <c r="H960" s="7" t="s">
        <v>137</v>
      </c>
      <c r="K960" s="6">
        <f t="shared" si="23"/>
        <v>0</v>
      </c>
    </row>
    <row r="961" spans="1:11" x14ac:dyDescent="0.2">
      <c r="A961" t="s">
        <v>819</v>
      </c>
      <c r="B961">
        <v>2016</v>
      </c>
      <c r="C961" t="s">
        <v>820</v>
      </c>
      <c r="D961" t="s">
        <v>820</v>
      </c>
      <c r="E961" s="7" t="s">
        <v>137</v>
      </c>
      <c r="F961" s="7" t="s">
        <v>137</v>
      </c>
      <c r="G961" s="7" t="s">
        <v>137</v>
      </c>
      <c r="H961" s="7" t="s">
        <v>137</v>
      </c>
      <c r="K961" s="6">
        <f t="shared" si="23"/>
        <v>0</v>
      </c>
    </row>
    <row r="962" spans="1:11" x14ac:dyDescent="0.2">
      <c r="A962" t="s">
        <v>819</v>
      </c>
      <c r="B962">
        <v>2019</v>
      </c>
      <c r="C962" t="s">
        <v>822</v>
      </c>
      <c r="D962" t="s">
        <v>822</v>
      </c>
      <c r="E962" s="7" t="s">
        <v>137</v>
      </c>
      <c r="F962" s="7" t="s">
        <v>137</v>
      </c>
      <c r="G962" s="7" t="s">
        <v>137</v>
      </c>
      <c r="H962" s="7" t="s">
        <v>137</v>
      </c>
      <c r="K962" s="6">
        <f t="shared" ref="K962:K1025" si="24">SUM(E962:H962)</f>
        <v>0</v>
      </c>
    </row>
    <row r="963" spans="1:11" x14ac:dyDescent="0.2">
      <c r="A963" t="s">
        <v>819</v>
      </c>
      <c r="B963">
        <v>2015</v>
      </c>
      <c r="C963" t="s">
        <v>823</v>
      </c>
      <c r="D963" t="s">
        <v>823</v>
      </c>
      <c r="E963" s="7" t="s">
        <v>137</v>
      </c>
      <c r="F963" s="7" t="s">
        <v>137</v>
      </c>
      <c r="G963" s="7" t="s">
        <v>137</v>
      </c>
      <c r="H963" s="7" t="s">
        <v>137</v>
      </c>
      <c r="K963" s="6">
        <f t="shared" si="24"/>
        <v>0</v>
      </c>
    </row>
    <row r="964" spans="1:11" x14ac:dyDescent="0.2">
      <c r="A964" t="s">
        <v>819</v>
      </c>
      <c r="B964">
        <v>2016</v>
      </c>
      <c r="C964" t="s">
        <v>823</v>
      </c>
      <c r="D964" t="s">
        <v>823</v>
      </c>
      <c r="E964" s="7" t="s">
        <v>137</v>
      </c>
      <c r="F964" s="7" t="s">
        <v>137</v>
      </c>
      <c r="G964" s="7" t="s">
        <v>137</v>
      </c>
      <c r="H964" s="7" t="s">
        <v>137</v>
      </c>
      <c r="K964" s="6">
        <f t="shared" si="24"/>
        <v>0</v>
      </c>
    </row>
    <row r="965" spans="1:11" x14ac:dyDescent="0.2">
      <c r="A965" t="s">
        <v>819</v>
      </c>
      <c r="B965">
        <v>2010</v>
      </c>
      <c r="C965" t="s">
        <v>820</v>
      </c>
      <c r="D965" t="s">
        <v>824</v>
      </c>
      <c r="E965" s="7" t="s">
        <v>137</v>
      </c>
      <c r="F965" s="7" t="s">
        <v>137</v>
      </c>
      <c r="G965" s="7" t="s">
        <v>137</v>
      </c>
      <c r="H965" s="7" t="s">
        <v>137</v>
      </c>
      <c r="K965" s="6">
        <f t="shared" si="24"/>
        <v>0</v>
      </c>
    </row>
    <row r="966" spans="1:11" x14ac:dyDescent="0.2">
      <c r="A966" t="s">
        <v>819</v>
      </c>
      <c r="B966">
        <v>2011</v>
      </c>
      <c r="C966" t="s">
        <v>820</v>
      </c>
      <c r="D966" t="s">
        <v>825</v>
      </c>
      <c r="E966" s="7" t="s">
        <v>137</v>
      </c>
      <c r="F966" s="7" t="s">
        <v>137</v>
      </c>
      <c r="G966" s="7" t="s">
        <v>137</v>
      </c>
      <c r="H966" s="7" t="s">
        <v>137</v>
      </c>
      <c r="K966" s="6">
        <f t="shared" si="24"/>
        <v>0</v>
      </c>
    </row>
    <row r="967" spans="1:11" x14ac:dyDescent="0.2">
      <c r="A967" t="s">
        <v>826</v>
      </c>
      <c r="B967">
        <v>2016</v>
      </c>
      <c r="C967" t="s">
        <v>827</v>
      </c>
      <c r="D967" t="s">
        <v>827</v>
      </c>
      <c r="E967" s="5">
        <f>26824/26847</f>
        <v>0.99914329347785602</v>
      </c>
      <c r="I967" t="s">
        <v>828</v>
      </c>
      <c r="J967" t="s">
        <v>829</v>
      </c>
      <c r="K967" s="6">
        <f t="shared" si="24"/>
        <v>0.99914329347785602</v>
      </c>
    </row>
    <row r="968" spans="1:11" x14ac:dyDescent="0.2">
      <c r="A968" t="s">
        <v>826</v>
      </c>
      <c r="B968">
        <v>2017</v>
      </c>
      <c r="C968" t="s">
        <v>827</v>
      </c>
      <c r="D968" t="s">
        <v>827</v>
      </c>
      <c r="E968" s="5">
        <f>(29507/29533)</f>
        <v>0.99911962888971662</v>
      </c>
      <c r="I968" t="s">
        <v>828</v>
      </c>
      <c r="J968" t="s">
        <v>829</v>
      </c>
      <c r="K968" s="6">
        <f t="shared" si="24"/>
        <v>0.99911962888971662</v>
      </c>
    </row>
    <row r="969" spans="1:11" x14ac:dyDescent="0.2">
      <c r="A969" t="s">
        <v>826</v>
      </c>
      <c r="B969">
        <v>2018</v>
      </c>
      <c r="C969" t="s">
        <v>827</v>
      </c>
      <c r="D969" t="s">
        <v>827</v>
      </c>
      <c r="E969" s="7">
        <f t="shared" ref="E969:E974" si="25">31875/31879</f>
        <v>0.99987452554973488</v>
      </c>
      <c r="F969" s="7"/>
      <c r="G969" s="7"/>
      <c r="H969" s="7"/>
      <c r="I969" t="s">
        <v>828</v>
      </c>
      <c r="J969" t="s">
        <v>830</v>
      </c>
      <c r="K969" s="6">
        <f t="shared" si="24"/>
        <v>0.99987452554973488</v>
      </c>
    </row>
    <row r="970" spans="1:11" x14ac:dyDescent="0.2">
      <c r="A970" t="s">
        <v>826</v>
      </c>
      <c r="B970">
        <v>2018</v>
      </c>
      <c r="C970" s="8" t="s">
        <v>826</v>
      </c>
      <c r="D970" t="s">
        <v>827</v>
      </c>
      <c r="E970" s="7">
        <f t="shared" si="25"/>
        <v>0.99987452554973488</v>
      </c>
      <c r="F970" s="7"/>
      <c r="G970" s="7"/>
      <c r="H970" s="7"/>
      <c r="I970" t="s">
        <v>828</v>
      </c>
      <c r="J970" t="s">
        <v>830</v>
      </c>
      <c r="K970" s="6">
        <f t="shared" si="24"/>
        <v>0.99987452554973488</v>
      </c>
    </row>
    <row r="971" spans="1:11" x14ac:dyDescent="0.2">
      <c r="A971" t="s">
        <v>826</v>
      </c>
      <c r="B971">
        <v>2018</v>
      </c>
      <c r="C971" t="s">
        <v>827</v>
      </c>
      <c r="D971" t="s">
        <v>827</v>
      </c>
      <c r="E971" s="7">
        <f t="shared" si="25"/>
        <v>0.99987452554973488</v>
      </c>
      <c r="F971" s="7"/>
      <c r="G971" s="7"/>
      <c r="H971" s="7"/>
      <c r="I971" t="s">
        <v>828</v>
      </c>
      <c r="J971" t="s">
        <v>830</v>
      </c>
      <c r="K971" s="6">
        <f t="shared" si="24"/>
        <v>0.99987452554973488</v>
      </c>
    </row>
    <row r="972" spans="1:11" x14ac:dyDescent="0.2">
      <c r="A972" s="9" t="s">
        <v>826</v>
      </c>
      <c r="B972" s="9">
        <v>2019</v>
      </c>
      <c r="C972" s="9" t="s">
        <v>827</v>
      </c>
      <c r="D972" s="9" t="s">
        <v>827</v>
      </c>
      <c r="E972" s="10">
        <f t="shared" si="25"/>
        <v>0.99987452554973488</v>
      </c>
      <c r="F972" s="10"/>
      <c r="G972" s="10"/>
      <c r="H972" s="10"/>
      <c r="I972" s="9" t="s">
        <v>828</v>
      </c>
      <c r="J972" s="9" t="s">
        <v>830</v>
      </c>
      <c r="K972" s="6">
        <f t="shared" si="24"/>
        <v>0.99987452554973488</v>
      </c>
    </row>
    <row r="973" spans="1:11" x14ac:dyDescent="0.2">
      <c r="A973" t="s">
        <v>826</v>
      </c>
      <c r="B973">
        <v>2018</v>
      </c>
      <c r="C973" t="s">
        <v>831</v>
      </c>
      <c r="D973" t="s">
        <v>832</v>
      </c>
      <c r="E973" s="7">
        <f t="shared" si="25"/>
        <v>0.99987452554973488</v>
      </c>
      <c r="F973" s="7"/>
      <c r="G973" s="7"/>
      <c r="H973" s="7"/>
      <c r="I973" t="s">
        <v>828</v>
      </c>
      <c r="J973" t="s">
        <v>830</v>
      </c>
      <c r="K973" s="6">
        <f t="shared" si="24"/>
        <v>0.99987452554973488</v>
      </c>
    </row>
    <row r="974" spans="1:11" x14ac:dyDescent="0.2">
      <c r="A974" t="s">
        <v>826</v>
      </c>
      <c r="B974">
        <v>2018</v>
      </c>
      <c r="C974" t="s">
        <v>831</v>
      </c>
      <c r="D974" t="s">
        <v>832</v>
      </c>
      <c r="E974" s="7">
        <f t="shared" si="25"/>
        <v>0.99987452554973488</v>
      </c>
      <c r="F974" s="7"/>
      <c r="G974" s="7"/>
      <c r="H974" s="7"/>
      <c r="I974" t="s">
        <v>828</v>
      </c>
      <c r="J974" t="s">
        <v>830</v>
      </c>
      <c r="K974" s="6">
        <f t="shared" si="24"/>
        <v>0.99987452554973488</v>
      </c>
    </row>
    <row r="975" spans="1:11" x14ac:dyDescent="0.2">
      <c r="A975" t="s">
        <v>833</v>
      </c>
      <c r="B975">
        <v>2010</v>
      </c>
      <c r="C975" t="s">
        <v>834</v>
      </c>
      <c r="D975" t="s">
        <v>834</v>
      </c>
      <c r="E975" s="5">
        <v>1</v>
      </c>
      <c r="I975" t="s">
        <v>835</v>
      </c>
      <c r="J975" t="s">
        <v>836</v>
      </c>
      <c r="K975" s="6">
        <f t="shared" si="24"/>
        <v>1</v>
      </c>
    </row>
    <row r="976" spans="1:11" x14ac:dyDescent="0.2">
      <c r="A976" t="s">
        <v>833</v>
      </c>
      <c r="B976">
        <v>2013</v>
      </c>
      <c r="C976" t="s">
        <v>834</v>
      </c>
      <c r="D976" t="s">
        <v>837</v>
      </c>
      <c r="E976" s="5">
        <v>1</v>
      </c>
      <c r="I976" t="s">
        <v>838</v>
      </c>
      <c r="J976" t="s">
        <v>836</v>
      </c>
      <c r="K976" s="6">
        <f t="shared" si="24"/>
        <v>1</v>
      </c>
    </row>
    <row r="977" spans="1:11" x14ac:dyDescent="0.2">
      <c r="A977" t="s">
        <v>839</v>
      </c>
      <c r="B977">
        <v>2013</v>
      </c>
      <c r="C977" t="s">
        <v>840</v>
      </c>
      <c r="D977" t="s">
        <v>841</v>
      </c>
      <c r="E977" s="5">
        <v>0.01</v>
      </c>
      <c r="I977" t="s">
        <v>842</v>
      </c>
      <c r="J977" t="s">
        <v>843</v>
      </c>
      <c r="K977" s="6">
        <f t="shared" si="24"/>
        <v>0.01</v>
      </c>
    </row>
    <row r="978" spans="1:11" x14ac:dyDescent="0.2">
      <c r="A978" t="s">
        <v>839</v>
      </c>
      <c r="B978">
        <v>2014</v>
      </c>
      <c r="C978" t="s">
        <v>840</v>
      </c>
      <c r="D978" t="s">
        <v>841</v>
      </c>
      <c r="E978" s="5">
        <v>0.01</v>
      </c>
      <c r="I978" t="s">
        <v>842</v>
      </c>
      <c r="J978" t="s">
        <v>843</v>
      </c>
      <c r="K978" s="6">
        <f t="shared" si="24"/>
        <v>0.01</v>
      </c>
    </row>
    <row r="979" spans="1:11" x14ac:dyDescent="0.2">
      <c r="A979" t="s">
        <v>839</v>
      </c>
      <c r="B979">
        <v>2015</v>
      </c>
      <c r="C979" t="s">
        <v>840</v>
      </c>
      <c r="D979" t="s">
        <v>841</v>
      </c>
      <c r="E979" s="5">
        <v>0.01</v>
      </c>
      <c r="I979" t="s">
        <v>842</v>
      </c>
      <c r="J979" t="s">
        <v>843</v>
      </c>
      <c r="K979" s="6">
        <f t="shared" si="24"/>
        <v>0.01</v>
      </c>
    </row>
    <row r="980" spans="1:11" x14ac:dyDescent="0.2">
      <c r="A980" t="s">
        <v>839</v>
      </c>
      <c r="B980">
        <v>2010</v>
      </c>
      <c r="C980" t="s">
        <v>140</v>
      </c>
      <c r="D980" t="s">
        <v>844</v>
      </c>
      <c r="E980" s="5">
        <v>0.01</v>
      </c>
      <c r="I980" t="s">
        <v>842</v>
      </c>
      <c r="J980" t="s">
        <v>843</v>
      </c>
      <c r="K980" s="6">
        <f t="shared" si="24"/>
        <v>0.01</v>
      </c>
    </row>
    <row r="981" spans="1:11" x14ac:dyDescent="0.2">
      <c r="A981" t="s">
        <v>839</v>
      </c>
      <c r="B981">
        <v>2010</v>
      </c>
      <c r="C981" t="s">
        <v>840</v>
      </c>
      <c r="D981" t="s">
        <v>844</v>
      </c>
      <c r="E981" s="5">
        <v>0.01</v>
      </c>
      <c r="I981" t="s">
        <v>842</v>
      </c>
      <c r="J981" t="s">
        <v>843</v>
      </c>
      <c r="K981" s="6">
        <f t="shared" si="24"/>
        <v>0.01</v>
      </c>
    </row>
    <row r="982" spans="1:11" x14ac:dyDescent="0.2">
      <c r="A982" t="s">
        <v>839</v>
      </c>
      <c r="B982">
        <v>2011</v>
      </c>
      <c r="C982" t="s">
        <v>140</v>
      </c>
      <c r="D982" t="s">
        <v>844</v>
      </c>
      <c r="E982" s="5">
        <v>0.01</v>
      </c>
      <c r="I982" t="s">
        <v>842</v>
      </c>
      <c r="J982" t="s">
        <v>843</v>
      </c>
      <c r="K982" s="6">
        <f t="shared" si="24"/>
        <v>0.01</v>
      </c>
    </row>
    <row r="983" spans="1:11" x14ac:dyDescent="0.2">
      <c r="A983" t="s">
        <v>839</v>
      </c>
      <c r="B983">
        <v>2011</v>
      </c>
      <c r="C983" t="s">
        <v>840</v>
      </c>
      <c r="D983" t="s">
        <v>844</v>
      </c>
      <c r="E983" s="5">
        <v>0.01</v>
      </c>
      <c r="I983" t="s">
        <v>842</v>
      </c>
      <c r="J983" t="s">
        <v>843</v>
      </c>
      <c r="K983" s="6">
        <f t="shared" si="24"/>
        <v>0.01</v>
      </c>
    </row>
    <row r="984" spans="1:11" x14ac:dyDescent="0.2">
      <c r="A984" t="s">
        <v>839</v>
      </c>
      <c r="B984">
        <v>2012</v>
      </c>
      <c r="C984" t="s">
        <v>140</v>
      </c>
      <c r="D984" t="s">
        <v>844</v>
      </c>
      <c r="E984" s="5">
        <v>0.01</v>
      </c>
      <c r="I984" t="s">
        <v>842</v>
      </c>
      <c r="J984" t="s">
        <v>843</v>
      </c>
      <c r="K984" s="6">
        <f t="shared" si="24"/>
        <v>0.01</v>
      </c>
    </row>
    <row r="985" spans="1:11" x14ac:dyDescent="0.2">
      <c r="A985" t="s">
        <v>839</v>
      </c>
      <c r="B985">
        <v>2012</v>
      </c>
      <c r="C985" t="s">
        <v>840</v>
      </c>
      <c r="D985" t="s">
        <v>844</v>
      </c>
      <c r="E985" s="5">
        <v>0.01</v>
      </c>
      <c r="I985" t="s">
        <v>842</v>
      </c>
      <c r="J985" t="s">
        <v>843</v>
      </c>
      <c r="K985" s="6">
        <f t="shared" si="24"/>
        <v>0.01</v>
      </c>
    </row>
    <row r="986" spans="1:11" x14ac:dyDescent="0.2">
      <c r="A986" t="s">
        <v>839</v>
      </c>
      <c r="B986">
        <v>2013</v>
      </c>
      <c r="C986" t="s">
        <v>840</v>
      </c>
      <c r="D986" t="s">
        <v>844</v>
      </c>
      <c r="E986" s="5">
        <v>0.01</v>
      </c>
      <c r="I986" t="s">
        <v>842</v>
      </c>
      <c r="J986" t="s">
        <v>843</v>
      </c>
      <c r="K986" s="6">
        <f t="shared" si="24"/>
        <v>0.01</v>
      </c>
    </row>
    <row r="987" spans="1:11" x14ac:dyDescent="0.2">
      <c r="A987" t="s">
        <v>839</v>
      </c>
      <c r="B987">
        <v>2014</v>
      </c>
      <c r="C987" t="s">
        <v>140</v>
      </c>
      <c r="D987" t="s">
        <v>844</v>
      </c>
      <c r="E987" s="5">
        <v>0.01</v>
      </c>
      <c r="I987" t="s">
        <v>842</v>
      </c>
      <c r="J987" t="s">
        <v>843</v>
      </c>
      <c r="K987" s="6">
        <f t="shared" si="24"/>
        <v>0.01</v>
      </c>
    </row>
    <row r="988" spans="1:11" x14ac:dyDescent="0.2">
      <c r="A988" t="s">
        <v>839</v>
      </c>
      <c r="B988">
        <v>2014</v>
      </c>
      <c r="C988" t="s">
        <v>840</v>
      </c>
      <c r="D988" t="s">
        <v>844</v>
      </c>
      <c r="E988" s="5">
        <v>0.01</v>
      </c>
      <c r="I988" t="s">
        <v>842</v>
      </c>
      <c r="J988" t="s">
        <v>843</v>
      </c>
      <c r="K988" s="6">
        <f t="shared" si="24"/>
        <v>0.01</v>
      </c>
    </row>
    <row r="989" spans="1:11" x14ac:dyDescent="0.2">
      <c r="A989" t="s">
        <v>839</v>
      </c>
      <c r="B989">
        <v>2015</v>
      </c>
      <c r="C989" t="s">
        <v>840</v>
      </c>
      <c r="D989" t="s">
        <v>844</v>
      </c>
      <c r="E989" s="5">
        <v>0.01</v>
      </c>
      <c r="I989" t="s">
        <v>842</v>
      </c>
      <c r="J989" t="s">
        <v>843</v>
      </c>
      <c r="K989" s="6">
        <f t="shared" si="24"/>
        <v>0.01</v>
      </c>
    </row>
    <row r="990" spans="1:11" x14ac:dyDescent="0.2">
      <c r="A990" t="s">
        <v>839</v>
      </c>
      <c r="B990">
        <v>2016</v>
      </c>
      <c r="C990" t="s">
        <v>840</v>
      </c>
      <c r="D990" t="s">
        <v>844</v>
      </c>
      <c r="E990" s="5">
        <v>0.01</v>
      </c>
      <c r="I990" t="s">
        <v>842</v>
      </c>
      <c r="J990" t="s">
        <v>843</v>
      </c>
      <c r="K990" s="6">
        <f t="shared" si="24"/>
        <v>0.01</v>
      </c>
    </row>
    <row r="991" spans="1:11" x14ac:dyDescent="0.2">
      <c r="A991" t="s">
        <v>839</v>
      </c>
      <c r="B991">
        <v>2017</v>
      </c>
      <c r="C991" t="s">
        <v>840</v>
      </c>
      <c r="D991" t="s">
        <v>840</v>
      </c>
      <c r="E991" s="5">
        <v>0.01</v>
      </c>
      <c r="I991" t="s">
        <v>842</v>
      </c>
      <c r="J991" t="s">
        <v>843</v>
      </c>
      <c r="K991" s="6">
        <f t="shared" si="24"/>
        <v>0.01</v>
      </c>
    </row>
    <row r="992" spans="1:11" x14ac:dyDescent="0.2">
      <c r="A992" t="s">
        <v>839</v>
      </c>
      <c r="B992">
        <v>2018</v>
      </c>
      <c r="C992" t="s">
        <v>840</v>
      </c>
      <c r="D992" t="s">
        <v>840</v>
      </c>
      <c r="E992" s="5">
        <v>0.01</v>
      </c>
      <c r="I992" t="s">
        <v>842</v>
      </c>
      <c r="J992" t="s">
        <v>843</v>
      </c>
      <c r="K992" s="6">
        <f t="shared" si="24"/>
        <v>0.01</v>
      </c>
    </row>
    <row r="993" spans="1:11" x14ac:dyDescent="0.2">
      <c r="A993" t="s">
        <v>839</v>
      </c>
      <c r="B993">
        <v>2018</v>
      </c>
      <c r="C993" s="8" t="s">
        <v>839</v>
      </c>
      <c r="D993" t="s">
        <v>840</v>
      </c>
      <c r="E993" s="5">
        <v>0.01</v>
      </c>
      <c r="I993" t="s">
        <v>842</v>
      </c>
      <c r="J993" t="s">
        <v>843</v>
      </c>
      <c r="K993" s="6">
        <f t="shared" si="24"/>
        <v>0.01</v>
      </c>
    </row>
    <row r="994" spans="1:11" x14ac:dyDescent="0.2">
      <c r="A994" t="s">
        <v>839</v>
      </c>
      <c r="B994">
        <v>2018</v>
      </c>
      <c r="C994" t="s">
        <v>844</v>
      </c>
      <c r="D994" t="s">
        <v>844</v>
      </c>
      <c r="E994" s="5">
        <v>0.01</v>
      </c>
      <c r="I994" t="s">
        <v>842</v>
      </c>
      <c r="J994" t="s">
        <v>843</v>
      </c>
      <c r="K994" s="6">
        <f t="shared" si="24"/>
        <v>0.01</v>
      </c>
    </row>
    <row r="995" spans="1:11" x14ac:dyDescent="0.2">
      <c r="A995" t="s">
        <v>839</v>
      </c>
      <c r="B995">
        <v>2019</v>
      </c>
      <c r="C995" t="s">
        <v>840</v>
      </c>
      <c r="D995" t="s">
        <v>840</v>
      </c>
      <c r="E995" s="5">
        <v>0.01</v>
      </c>
      <c r="I995" t="s">
        <v>842</v>
      </c>
      <c r="J995" t="s">
        <v>843</v>
      </c>
      <c r="K995" s="6">
        <f t="shared" si="24"/>
        <v>0.01</v>
      </c>
    </row>
    <row r="996" spans="1:11" x14ac:dyDescent="0.2">
      <c r="A996" t="s">
        <v>839</v>
      </c>
      <c r="B996">
        <v>2010</v>
      </c>
      <c r="C996" t="s">
        <v>840</v>
      </c>
      <c r="D996" t="s">
        <v>845</v>
      </c>
      <c r="E996" s="5">
        <v>0.01</v>
      </c>
      <c r="I996" t="s">
        <v>842</v>
      </c>
      <c r="J996" t="s">
        <v>843</v>
      </c>
      <c r="K996" s="6">
        <f t="shared" si="24"/>
        <v>0.01</v>
      </c>
    </row>
    <row r="997" spans="1:11" x14ac:dyDescent="0.2">
      <c r="A997" s="8" t="s">
        <v>839</v>
      </c>
      <c r="B997">
        <v>2018</v>
      </c>
      <c r="C997" s="8" t="s">
        <v>839</v>
      </c>
      <c r="D997" t="s">
        <v>846</v>
      </c>
      <c r="E997" s="5">
        <v>0.01</v>
      </c>
      <c r="I997" t="s">
        <v>842</v>
      </c>
      <c r="J997" t="s">
        <v>843</v>
      </c>
      <c r="K997" s="6">
        <f t="shared" si="24"/>
        <v>0.01</v>
      </c>
    </row>
    <row r="998" spans="1:11" x14ac:dyDescent="0.2">
      <c r="A998" t="s">
        <v>839</v>
      </c>
      <c r="B998">
        <v>2018</v>
      </c>
      <c r="C998" s="8" t="s">
        <v>839</v>
      </c>
      <c r="D998" t="s">
        <v>846</v>
      </c>
      <c r="E998" s="5">
        <v>0.01</v>
      </c>
      <c r="I998" t="s">
        <v>842</v>
      </c>
      <c r="J998" t="s">
        <v>843</v>
      </c>
      <c r="K998" s="6">
        <f t="shared" si="24"/>
        <v>0.01</v>
      </c>
    </row>
    <row r="999" spans="1:11" x14ac:dyDescent="0.2">
      <c r="A999" t="s">
        <v>847</v>
      </c>
      <c r="B999">
        <v>2014</v>
      </c>
      <c r="C999" t="s">
        <v>848</v>
      </c>
      <c r="D999" t="s">
        <v>849</v>
      </c>
      <c r="E999" s="5">
        <v>1</v>
      </c>
      <c r="I999" t="s">
        <v>850</v>
      </c>
      <c r="J999" t="s">
        <v>851</v>
      </c>
      <c r="K999" s="6">
        <f t="shared" si="24"/>
        <v>1</v>
      </c>
    </row>
    <row r="1000" spans="1:11" x14ac:dyDescent="0.2">
      <c r="A1000" t="s">
        <v>847</v>
      </c>
      <c r="B1000">
        <v>2014</v>
      </c>
      <c r="C1000" t="s">
        <v>848</v>
      </c>
      <c r="D1000" t="s">
        <v>852</v>
      </c>
      <c r="E1000" s="5">
        <v>1</v>
      </c>
      <c r="I1000" t="s">
        <v>850</v>
      </c>
      <c r="J1000" t="s">
        <v>851</v>
      </c>
      <c r="K1000" s="6">
        <f t="shared" si="24"/>
        <v>1</v>
      </c>
    </row>
    <row r="1001" spans="1:11" x14ac:dyDescent="0.2">
      <c r="A1001" t="s">
        <v>847</v>
      </c>
      <c r="B1001">
        <v>2018</v>
      </c>
      <c r="C1001" t="s">
        <v>848</v>
      </c>
      <c r="D1001" t="s">
        <v>852</v>
      </c>
      <c r="E1001" s="5">
        <v>1</v>
      </c>
      <c r="I1001" t="s">
        <v>850</v>
      </c>
      <c r="J1001" t="s">
        <v>851</v>
      </c>
      <c r="K1001" s="6">
        <f t="shared" si="24"/>
        <v>1</v>
      </c>
    </row>
    <row r="1002" spans="1:11" x14ac:dyDescent="0.2">
      <c r="A1002" t="s">
        <v>847</v>
      </c>
      <c r="B1002">
        <v>2012</v>
      </c>
      <c r="C1002" t="s">
        <v>847</v>
      </c>
      <c r="D1002" t="s">
        <v>853</v>
      </c>
      <c r="E1002" s="11">
        <v>1</v>
      </c>
      <c r="I1002" s="5" t="s">
        <v>850</v>
      </c>
      <c r="J1002" t="s">
        <v>854</v>
      </c>
      <c r="K1002" s="6">
        <f t="shared" si="24"/>
        <v>1</v>
      </c>
    </row>
    <row r="1003" spans="1:11" x14ac:dyDescent="0.2">
      <c r="A1003" t="s">
        <v>847</v>
      </c>
      <c r="B1003">
        <v>2016</v>
      </c>
      <c r="C1003" t="s">
        <v>848</v>
      </c>
      <c r="D1003" t="s">
        <v>848</v>
      </c>
      <c r="E1003" s="5">
        <f>94903/(95735-61)</f>
        <v>0.99194138428413148</v>
      </c>
      <c r="I1003" t="s">
        <v>855</v>
      </c>
      <c r="J1003" t="s">
        <v>856</v>
      </c>
      <c r="K1003" s="6">
        <f t="shared" si="24"/>
        <v>0.99194138428413148</v>
      </c>
    </row>
    <row r="1004" spans="1:11" x14ac:dyDescent="0.2">
      <c r="A1004" t="s">
        <v>847</v>
      </c>
      <c r="B1004">
        <v>2017</v>
      </c>
      <c r="C1004" t="s">
        <v>848</v>
      </c>
      <c r="D1004" t="s">
        <v>848</v>
      </c>
      <c r="E1004" s="5">
        <f>370141/(370141+8+157+52)</f>
        <v>0.99941408043028634</v>
      </c>
      <c r="I1004" t="s">
        <v>855</v>
      </c>
      <c r="J1004" t="s">
        <v>857</v>
      </c>
      <c r="K1004" s="6">
        <f t="shared" si="24"/>
        <v>0.99941408043028634</v>
      </c>
    </row>
    <row r="1005" spans="1:11" x14ac:dyDescent="0.2">
      <c r="A1005" s="9" t="s">
        <v>847</v>
      </c>
      <c r="B1005" s="9">
        <v>2019</v>
      </c>
      <c r="C1005" s="9" t="s">
        <v>848</v>
      </c>
      <c r="D1005" s="9" t="s">
        <v>848</v>
      </c>
      <c r="E1005" s="10">
        <f>(48092+(4669/4))/(48092+0+531+4669)</f>
        <v>0.92432729115064172</v>
      </c>
      <c r="F1005" s="10"/>
      <c r="G1005" s="10"/>
      <c r="H1005" s="10"/>
      <c r="I1005" s="9" t="s">
        <v>858</v>
      </c>
      <c r="J1005" s="9" t="s">
        <v>859</v>
      </c>
      <c r="K1005" s="6">
        <f t="shared" si="24"/>
        <v>0.92432729115064172</v>
      </c>
    </row>
    <row r="1006" spans="1:11" x14ac:dyDescent="0.2">
      <c r="A1006" t="s">
        <v>847</v>
      </c>
      <c r="B1006">
        <v>2016</v>
      </c>
      <c r="C1006" t="s">
        <v>847</v>
      </c>
      <c r="D1006" t="s">
        <v>847</v>
      </c>
      <c r="E1006" s="5">
        <f>94903/(95735-61)</f>
        <v>0.99194138428413148</v>
      </c>
      <c r="I1006" t="s">
        <v>855</v>
      </c>
      <c r="J1006" t="s">
        <v>856</v>
      </c>
      <c r="K1006" s="6">
        <f t="shared" si="24"/>
        <v>0.99194138428413148</v>
      </c>
    </row>
    <row r="1007" spans="1:11" x14ac:dyDescent="0.2">
      <c r="A1007" t="s">
        <v>847</v>
      </c>
      <c r="B1007">
        <v>2018</v>
      </c>
      <c r="C1007" t="s">
        <v>847</v>
      </c>
      <c r="D1007" t="s">
        <v>847</v>
      </c>
      <c r="E1007" s="7">
        <f>(48092+(4669/4))/(48092+0+531+4669)</f>
        <v>0.92432729115064172</v>
      </c>
      <c r="F1007" s="7"/>
      <c r="G1007" s="7"/>
      <c r="H1007" s="7"/>
      <c r="I1007" t="s">
        <v>858</v>
      </c>
      <c r="J1007" t="s">
        <v>859</v>
      </c>
      <c r="K1007" s="6">
        <f t="shared" si="24"/>
        <v>0.92432729115064172</v>
      </c>
    </row>
    <row r="1008" spans="1:11" x14ac:dyDescent="0.2">
      <c r="A1008" t="s">
        <v>847</v>
      </c>
      <c r="B1008">
        <v>2018</v>
      </c>
      <c r="C1008" t="s">
        <v>847</v>
      </c>
      <c r="D1008" t="s">
        <v>847</v>
      </c>
      <c r="E1008" s="7">
        <f>(48092+(4669/4))/(48092+0+531+4669)</f>
        <v>0.92432729115064172</v>
      </c>
      <c r="F1008" s="7"/>
      <c r="G1008" s="7"/>
      <c r="H1008" s="7"/>
      <c r="I1008" t="s">
        <v>858</v>
      </c>
      <c r="J1008" t="s">
        <v>859</v>
      </c>
      <c r="K1008" s="6">
        <f t="shared" si="24"/>
        <v>0.92432729115064172</v>
      </c>
    </row>
    <row r="1009" spans="1:12" x14ac:dyDescent="0.2">
      <c r="A1009" t="s">
        <v>860</v>
      </c>
      <c r="B1009">
        <v>2012</v>
      </c>
      <c r="C1009" t="s">
        <v>861</v>
      </c>
      <c r="D1009" t="s">
        <v>861</v>
      </c>
      <c r="F1009" s="5">
        <f>(40232+11317)/54740</f>
        <v>0.94170624771647793</v>
      </c>
      <c r="H1009" s="5">
        <v>2.5000000000000001E-2</v>
      </c>
      <c r="I1009" t="s">
        <v>862</v>
      </c>
      <c r="J1009" t="s">
        <v>863</v>
      </c>
      <c r="K1009" s="6">
        <f t="shared" si="24"/>
        <v>0.96670624771647795</v>
      </c>
    </row>
    <row r="1010" spans="1:12" x14ac:dyDescent="0.2">
      <c r="A1010" t="s">
        <v>860</v>
      </c>
      <c r="B1010">
        <v>2013</v>
      </c>
      <c r="C1010" t="s">
        <v>861</v>
      </c>
      <c r="D1010" t="s">
        <v>861</v>
      </c>
      <c r="F1010" s="5">
        <f>(25894+8631+12071+(18559/3))/70112</f>
        <v>0.75282880724174661</v>
      </c>
      <c r="H1010" s="5">
        <f>(18559/3)/70112</f>
        <v>8.8235014453065572E-2</v>
      </c>
      <c r="I1010" t="s">
        <v>864</v>
      </c>
      <c r="J1010" t="s">
        <v>865</v>
      </c>
      <c r="K1010" s="6">
        <f t="shared" si="24"/>
        <v>0.8410638216948122</v>
      </c>
    </row>
    <row r="1011" spans="1:12" x14ac:dyDescent="0.2">
      <c r="A1011" t="s">
        <v>860</v>
      </c>
      <c r="B1011">
        <v>2014</v>
      </c>
      <c r="C1011" t="s">
        <v>861</v>
      </c>
      <c r="D1011" t="s">
        <v>861</v>
      </c>
      <c r="F1011" s="5">
        <f>(22501+8399+4957+(29330/3))/76721</f>
        <v>0.59480020680995638</v>
      </c>
      <c r="H1011" s="5">
        <f>((29330/3))/76721</f>
        <v>0.12743142903073038</v>
      </c>
      <c r="I1011" t="s">
        <v>864</v>
      </c>
      <c r="J1011" t="s">
        <v>866</v>
      </c>
      <c r="K1011" s="6">
        <f t="shared" si="24"/>
        <v>0.72223163584068673</v>
      </c>
      <c r="L1011" t="s">
        <v>867</v>
      </c>
    </row>
    <row r="1012" spans="1:12" x14ac:dyDescent="0.2">
      <c r="A1012" t="s">
        <v>860</v>
      </c>
      <c r="B1012">
        <v>2015</v>
      </c>
      <c r="C1012" t="s">
        <v>861</v>
      </c>
      <c r="D1012" t="s">
        <v>861</v>
      </c>
      <c r="F1012" s="5">
        <f>(23521+6769+(25179/3)+20355)/80079</f>
        <v>0.73724696861848926</v>
      </c>
      <c r="H1012" s="5">
        <f>(25179/3)/80079</f>
        <v>0.10480900111140248</v>
      </c>
      <c r="I1012" t="s">
        <v>864</v>
      </c>
      <c r="J1012" t="s">
        <v>868</v>
      </c>
      <c r="K1012" s="6">
        <f t="shared" si="24"/>
        <v>0.84205596972989172</v>
      </c>
    </row>
    <row r="1013" spans="1:12" x14ac:dyDescent="0.2">
      <c r="A1013" t="s">
        <v>860</v>
      </c>
      <c r="B1013">
        <v>2016</v>
      </c>
      <c r="C1013" t="s">
        <v>861</v>
      </c>
      <c r="D1013" t="s">
        <v>861</v>
      </c>
      <c r="F1013" s="5">
        <f>(24185+3750+(17486/3)+5779)/57387</f>
        <v>0.68905268905268902</v>
      </c>
      <c r="H1013" s="5">
        <f>(17486/3)/57387</f>
        <v>0.10156771858899519</v>
      </c>
      <c r="I1013" t="s">
        <v>864</v>
      </c>
      <c r="J1013" t="s">
        <v>869</v>
      </c>
      <c r="K1013" s="6">
        <f t="shared" si="24"/>
        <v>0.79062040764168418</v>
      </c>
    </row>
    <row r="1014" spans="1:12" x14ac:dyDescent="0.2">
      <c r="A1014" t="s">
        <v>860</v>
      </c>
      <c r="B1014">
        <v>2017</v>
      </c>
      <c r="C1014" t="s">
        <v>861</v>
      </c>
      <c r="D1014" t="s">
        <v>861</v>
      </c>
      <c r="F1014" s="5">
        <f>(651.3+220.8+(298.5/3)+291)/1461.6</f>
        <v>0.86384783798576903</v>
      </c>
      <c r="H1014" s="5">
        <f>(298.5/3)/1461.6</f>
        <v>6.8076081007115499E-2</v>
      </c>
      <c r="I1014" t="s">
        <v>870</v>
      </c>
      <c r="J1014" t="s">
        <v>871</v>
      </c>
      <c r="K1014" s="6">
        <f t="shared" si="24"/>
        <v>0.93192391899288451</v>
      </c>
    </row>
    <row r="1015" spans="1:12" x14ac:dyDescent="0.2">
      <c r="A1015" s="8" t="s">
        <v>860</v>
      </c>
      <c r="B1015">
        <v>2018</v>
      </c>
      <c r="C1015" s="8" t="s">
        <v>872</v>
      </c>
      <c r="D1015" t="s">
        <v>861</v>
      </c>
      <c r="E1015" s="7"/>
      <c r="F1015" s="7">
        <f t="shared" ref="F1015:F1024" si="26">(681.2+224.1+(326.5/3)+302.9)/(681.2+224.1+326.5+302.9)</f>
        <v>0.85816989205273542</v>
      </c>
      <c r="G1015" s="7"/>
      <c r="H1015" s="7">
        <f t="shared" ref="H1015:H1024" si="27">((326.5/3))/(681.2+224.1+326.5+302.9)</f>
        <v>7.0915053973632181E-2</v>
      </c>
      <c r="I1015" t="s">
        <v>873</v>
      </c>
      <c r="J1015" t="s">
        <v>874</v>
      </c>
      <c r="K1015" s="6">
        <f t="shared" si="24"/>
        <v>0.9290849460263676</v>
      </c>
    </row>
    <row r="1016" spans="1:12" x14ac:dyDescent="0.2">
      <c r="A1016" t="s">
        <v>860</v>
      </c>
      <c r="B1016">
        <v>2018</v>
      </c>
      <c r="C1016" s="8" t="s">
        <v>872</v>
      </c>
      <c r="D1016" t="s">
        <v>861</v>
      </c>
      <c r="E1016" s="7"/>
      <c r="F1016" s="7">
        <f t="shared" si="26"/>
        <v>0.85816989205273542</v>
      </c>
      <c r="G1016" s="7"/>
      <c r="H1016" s="7">
        <f t="shared" si="27"/>
        <v>7.0915053973632181E-2</v>
      </c>
      <c r="I1016" t="s">
        <v>873</v>
      </c>
      <c r="J1016" t="s">
        <v>874</v>
      </c>
      <c r="K1016" s="6">
        <f t="shared" si="24"/>
        <v>0.9290849460263676</v>
      </c>
    </row>
    <row r="1017" spans="1:12" x14ac:dyDescent="0.2">
      <c r="A1017" t="s">
        <v>860</v>
      </c>
      <c r="B1017">
        <v>2018</v>
      </c>
      <c r="C1017" t="s">
        <v>875</v>
      </c>
      <c r="D1017" t="s">
        <v>875</v>
      </c>
      <c r="E1017" s="7"/>
      <c r="F1017" s="7">
        <f t="shared" si="26"/>
        <v>0.85816989205273542</v>
      </c>
      <c r="G1017" s="7"/>
      <c r="H1017" s="7">
        <f t="shared" si="27"/>
        <v>7.0915053973632181E-2</v>
      </c>
      <c r="I1017" t="s">
        <v>873</v>
      </c>
      <c r="J1017" t="s">
        <v>874</v>
      </c>
      <c r="K1017" s="6">
        <f t="shared" si="24"/>
        <v>0.9290849460263676</v>
      </c>
    </row>
    <row r="1018" spans="1:12" x14ac:dyDescent="0.2">
      <c r="A1018" s="9" t="s">
        <v>860</v>
      </c>
      <c r="B1018" s="9">
        <v>2019</v>
      </c>
      <c r="C1018" s="9" t="s">
        <v>861</v>
      </c>
      <c r="D1018" s="9" t="s">
        <v>861</v>
      </c>
      <c r="E1018" s="10"/>
      <c r="F1018" s="10">
        <f t="shared" si="26"/>
        <v>0.85816989205273542</v>
      </c>
      <c r="G1018" s="10"/>
      <c r="H1018" s="10">
        <f t="shared" si="27"/>
        <v>7.0915053973632181E-2</v>
      </c>
      <c r="I1018" s="9" t="s">
        <v>873</v>
      </c>
      <c r="J1018" s="9" t="s">
        <v>874</v>
      </c>
      <c r="K1018" s="6">
        <f t="shared" si="24"/>
        <v>0.9290849460263676</v>
      </c>
    </row>
    <row r="1019" spans="1:12" x14ac:dyDescent="0.2">
      <c r="A1019" s="8" t="s">
        <v>860</v>
      </c>
      <c r="B1019">
        <v>2018</v>
      </c>
      <c r="C1019" s="8" t="s">
        <v>872</v>
      </c>
      <c r="D1019" t="s">
        <v>876</v>
      </c>
      <c r="E1019" s="7"/>
      <c r="F1019" s="7">
        <f t="shared" si="26"/>
        <v>0.85816989205273542</v>
      </c>
      <c r="G1019" s="7"/>
      <c r="H1019" s="7">
        <f t="shared" si="27"/>
        <v>7.0915053973632181E-2</v>
      </c>
      <c r="I1019" t="s">
        <v>873</v>
      </c>
      <c r="J1019" t="s">
        <v>874</v>
      </c>
      <c r="K1019" s="6">
        <f t="shared" si="24"/>
        <v>0.9290849460263676</v>
      </c>
    </row>
    <row r="1020" spans="1:12" x14ac:dyDescent="0.2">
      <c r="A1020" t="s">
        <v>860</v>
      </c>
      <c r="B1020">
        <v>2018</v>
      </c>
      <c r="C1020" t="s">
        <v>876</v>
      </c>
      <c r="D1020" t="s">
        <v>876</v>
      </c>
      <c r="E1020" s="7"/>
      <c r="F1020" s="7">
        <f t="shared" si="26"/>
        <v>0.85816989205273542</v>
      </c>
      <c r="G1020" s="7"/>
      <c r="H1020" s="7">
        <f t="shared" si="27"/>
        <v>7.0915053973632181E-2</v>
      </c>
      <c r="I1020" t="s">
        <v>873</v>
      </c>
      <c r="J1020" t="s">
        <v>874</v>
      </c>
      <c r="K1020" s="6">
        <f t="shared" si="24"/>
        <v>0.9290849460263676</v>
      </c>
    </row>
    <row r="1021" spans="1:12" x14ac:dyDescent="0.2">
      <c r="A1021" s="9" t="s">
        <v>860</v>
      </c>
      <c r="B1021" s="9">
        <v>2019</v>
      </c>
      <c r="C1021" s="9" t="s">
        <v>876</v>
      </c>
      <c r="D1021" s="9" t="s">
        <v>876</v>
      </c>
      <c r="E1021" s="10"/>
      <c r="F1021" s="10">
        <f t="shared" si="26"/>
        <v>0.85816989205273542</v>
      </c>
      <c r="G1021" s="10"/>
      <c r="H1021" s="10">
        <f t="shared" si="27"/>
        <v>7.0915053973632181E-2</v>
      </c>
      <c r="I1021" s="9" t="s">
        <v>873</v>
      </c>
      <c r="J1021" s="9" t="s">
        <v>874</v>
      </c>
      <c r="K1021" s="6">
        <f t="shared" si="24"/>
        <v>0.9290849460263676</v>
      </c>
    </row>
    <row r="1022" spans="1:12" x14ac:dyDescent="0.2">
      <c r="A1022" s="8" t="s">
        <v>860</v>
      </c>
      <c r="B1022">
        <v>2018</v>
      </c>
      <c r="C1022" s="8" t="s">
        <v>872</v>
      </c>
      <c r="D1022" t="s">
        <v>877</v>
      </c>
      <c r="E1022" s="7"/>
      <c r="F1022" s="7">
        <f t="shared" si="26"/>
        <v>0.85816989205273542</v>
      </c>
      <c r="G1022" s="7"/>
      <c r="H1022" s="7">
        <f t="shared" si="27"/>
        <v>7.0915053973632181E-2</v>
      </c>
      <c r="I1022" t="s">
        <v>873</v>
      </c>
      <c r="J1022" t="s">
        <v>874</v>
      </c>
      <c r="K1022" s="6">
        <f t="shared" si="24"/>
        <v>0.9290849460263676</v>
      </c>
    </row>
    <row r="1023" spans="1:12" x14ac:dyDescent="0.2">
      <c r="A1023" t="s">
        <v>860</v>
      </c>
      <c r="B1023">
        <v>2018</v>
      </c>
      <c r="C1023" t="s">
        <v>877</v>
      </c>
      <c r="D1023" t="s">
        <v>877</v>
      </c>
      <c r="E1023" s="7"/>
      <c r="F1023" s="7">
        <f t="shared" si="26"/>
        <v>0.85816989205273542</v>
      </c>
      <c r="G1023" s="7"/>
      <c r="H1023" s="7">
        <f t="shared" si="27"/>
        <v>7.0915053973632181E-2</v>
      </c>
      <c r="I1023" t="s">
        <v>873</v>
      </c>
      <c r="J1023" t="s">
        <v>874</v>
      </c>
      <c r="K1023" s="6">
        <f t="shared" si="24"/>
        <v>0.9290849460263676</v>
      </c>
    </row>
    <row r="1024" spans="1:12" x14ac:dyDescent="0.2">
      <c r="A1024" s="9" t="s">
        <v>860</v>
      </c>
      <c r="B1024" s="9">
        <v>2019</v>
      </c>
      <c r="C1024" s="9" t="s">
        <v>877</v>
      </c>
      <c r="D1024" s="9" t="s">
        <v>877</v>
      </c>
      <c r="E1024" s="10"/>
      <c r="F1024" s="10">
        <f t="shared" si="26"/>
        <v>0.85816989205273542</v>
      </c>
      <c r="G1024" s="10"/>
      <c r="H1024" s="10">
        <f t="shared" si="27"/>
        <v>7.0915053973632181E-2</v>
      </c>
      <c r="I1024" s="9" t="s">
        <v>873</v>
      </c>
      <c r="J1024" s="9" t="s">
        <v>874</v>
      </c>
      <c r="K1024" s="6">
        <f t="shared" si="24"/>
        <v>0.9290849460263676</v>
      </c>
    </row>
    <row r="1025" spans="1:11" x14ac:dyDescent="0.2">
      <c r="A1025" t="s">
        <v>860</v>
      </c>
      <c r="B1025">
        <v>2010</v>
      </c>
      <c r="C1025" t="s">
        <v>878</v>
      </c>
      <c r="D1025" t="s">
        <v>878</v>
      </c>
      <c r="F1025" s="5">
        <v>1</v>
      </c>
      <c r="I1025" t="s">
        <v>879</v>
      </c>
      <c r="J1025" t="s">
        <v>880</v>
      </c>
      <c r="K1025" s="6">
        <f t="shared" si="24"/>
        <v>1</v>
      </c>
    </row>
    <row r="1026" spans="1:11" x14ac:dyDescent="0.2">
      <c r="A1026" t="s">
        <v>860</v>
      </c>
      <c r="B1026">
        <v>2011</v>
      </c>
      <c r="C1026" t="s">
        <v>878</v>
      </c>
      <c r="D1026" t="s">
        <v>878</v>
      </c>
      <c r="F1026" s="5">
        <v>1</v>
      </c>
      <c r="I1026" t="s">
        <v>879</v>
      </c>
      <c r="J1026" t="s">
        <v>880</v>
      </c>
      <c r="K1026" s="6">
        <f t="shared" ref="K1026:K1089" si="28">SUM(E1026:H1026)</f>
        <v>1</v>
      </c>
    </row>
    <row r="1027" spans="1:11" x14ac:dyDescent="0.2">
      <c r="A1027" t="s">
        <v>860</v>
      </c>
      <c r="B1027">
        <v>2012</v>
      </c>
      <c r="C1027" t="s">
        <v>878</v>
      </c>
      <c r="D1027" t="s">
        <v>878</v>
      </c>
      <c r="F1027" s="5">
        <v>1</v>
      </c>
      <c r="I1027" t="s">
        <v>879</v>
      </c>
      <c r="J1027" t="s">
        <v>880</v>
      </c>
      <c r="K1027" s="6">
        <f t="shared" si="28"/>
        <v>1</v>
      </c>
    </row>
    <row r="1028" spans="1:11" x14ac:dyDescent="0.2">
      <c r="A1028" t="s">
        <v>860</v>
      </c>
      <c r="B1028">
        <v>2015</v>
      </c>
      <c r="C1028" t="s">
        <v>881</v>
      </c>
      <c r="D1028" t="s">
        <v>881</v>
      </c>
      <c r="F1028" s="5">
        <v>1</v>
      </c>
      <c r="I1028" t="s">
        <v>879</v>
      </c>
      <c r="J1028" t="s">
        <v>880</v>
      </c>
      <c r="K1028" s="6">
        <f t="shared" si="28"/>
        <v>1</v>
      </c>
    </row>
    <row r="1029" spans="1:11" x14ac:dyDescent="0.2">
      <c r="A1029" t="s">
        <v>860</v>
      </c>
      <c r="B1029">
        <v>2016</v>
      </c>
      <c r="C1029" t="s">
        <v>881</v>
      </c>
      <c r="D1029" t="s">
        <v>881</v>
      </c>
      <c r="F1029" s="5">
        <v>1</v>
      </c>
      <c r="I1029" t="s">
        <v>879</v>
      </c>
      <c r="J1029" t="s">
        <v>880</v>
      </c>
      <c r="K1029" s="6">
        <f t="shared" si="28"/>
        <v>1</v>
      </c>
    </row>
    <row r="1030" spans="1:11" x14ac:dyDescent="0.2">
      <c r="A1030" s="8" t="s">
        <v>860</v>
      </c>
      <c r="B1030">
        <v>2017</v>
      </c>
      <c r="C1030" s="8" t="s">
        <v>872</v>
      </c>
      <c r="D1030" t="s">
        <v>881</v>
      </c>
      <c r="F1030" s="5">
        <v>1</v>
      </c>
      <c r="I1030" t="s">
        <v>879</v>
      </c>
      <c r="J1030" t="s">
        <v>880</v>
      </c>
      <c r="K1030" s="6">
        <f t="shared" si="28"/>
        <v>1</v>
      </c>
    </row>
    <row r="1031" spans="1:11" x14ac:dyDescent="0.2">
      <c r="A1031" s="8" t="s">
        <v>860</v>
      </c>
      <c r="B1031">
        <v>2018</v>
      </c>
      <c r="C1031" s="8" t="s">
        <v>872</v>
      </c>
      <c r="D1031" t="s">
        <v>881</v>
      </c>
      <c r="F1031" s="5">
        <v>1</v>
      </c>
      <c r="I1031" t="s">
        <v>879</v>
      </c>
      <c r="J1031" t="s">
        <v>880</v>
      </c>
      <c r="K1031" s="6">
        <f t="shared" si="28"/>
        <v>1</v>
      </c>
    </row>
    <row r="1032" spans="1:11" x14ac:dyDescent="0.2">
      <c r="A1032" t="s">
        <v>860</v>
      </c>
      <c r="B1032">
        <v>2018</v>
      </c>
      <c r="C1032" s="8" t="s">
        <v>872</v>
      </c>
      <c r="D1032" t="s">
        <v>881</v>
      </c>
      <c r="F1032" s="5">
        <v>1</v>
      </c>
      <c r="I1032" t="s">
        <v>879</v>
      </c>
      <c r="J1032" t="s">
        <v>880</v>
      </c>
      <c r="K1032" s="6">
        <f t="shared" si="28"/>
        <v>1</v>
      </c>
    </row>
    <row r="1033" spans="1:11" x14ac:dyDescent="0.2">
      <c r="A1033" t="s">
        <v>860</v>
      </c>
      <c r="B1033">
        <v>2018</v>
      </c>
      <c r="C1033" t="s">
        <v>881</v>
      </c>
      <c r="D1033" t="s">
        <v>881</v>
      </c>
      <c r="F1033" s="5">
        <v>1</v>
      </c>
      <c r="I1033" t="s">
        <v>879</v>
      </c>
      <c r="J1033" t="s">
        <v>880</v>
      </c>
      <c r="K1033" s="6">
        <f t="shared" si="28"/>
        <v>1</v>
      </c>
    </row>
    <row r="1034" spans="1:11" x14ac:dyDescent="0.2">
      <c r="A1034" s="9" t="s">
        <v>860</v>
      </c>
      <c r="B1034" s="9">
        <v>2019</v>
      </c>
      <c r="C1034" s="9" t="s">
        <v>881</v>
      </c>
      <c r="D1034" s="9" t="s">
        <v>881</v>
      </c>
      <c r="E1034" s="10"/>
      <c r="F1034" s="10">
        <v>1</v>
      </c>
      <c r="G1034" s="10"/>
      <c r="H1034" s="10"/>
      <c r="I1034" s="9" t="s">
        <v>879</v>
      </c>
      <c r="J1034" s="9" t="s">
        <v>880</v>
      </c>
      <c r="K1034" s="6">
        <f t="shared" si="28"/>
        <v>1</v>
      </c>
    </row>
    <row r="1035" spans="1:11" x14ac:dyDescent="0.2">
      <c r="A1035" s="9" t="s">
        <v>882</v>
      </c>
      <c r="B1035" s="9">
        <v>2018</v>
      </c>
      <c r="C1035" s="9" t="s">
        <v>883</v>
      </c>
      <c r="D1035" s="9" t="s">
        <v>884</v>
      </c>
      <c r="E1035" s="10">
        <f>(556756/951086)*(1/14)</f>
        <v>4.1813553889223171E-2</v>
      </c>
      <c r="F1035" s="10"/>
      <c r="G1035" s="10">
        <f t="shared" ref="G1035:H1037" si="29">(99004/951086)*(1/5)</f>
        <v>2.0819147795257214E-2</v>
      </c>
      <c r="H1035" s="10">
        <f t="shared" si="29"/>
        <v>2.0819147795257214E-2</v>
      </c>
      <c r="I1035" s="9" t="s">
        <v>885</v>
      </c>
      <c r="J1035" s="9" t="s">
        <v>886</v>
      </c>
      <c r="K1035" s="6">
        <f t="shared" si="28"/>
        <v>8.3451849479737605E-2</v>
      </c>
    </row>
    <row r="1036" spans="1:11" x14ac:dyDescent="0.2">
      <c r="A1036" t="s">
        <v>882</v>
      </c>
      <c r="B1036">
        <v>2017</v>
      </c>
      <c r="C1036" t="s">
        <v>887</v>
      </c>
      <c r="D1036" t="s">
        <v>887</v>
      </c>
      <c r="E1036" s="5">
        <f>(556756/951086)*(1/14)</f>
        <v>4.1813553889223171E-2</v>
      </c>
      <c r="G1036" s="5">
        <f t="shared" si="29"/>
        <v>2.0819147795257214E-2</v>
      </c>
      <c r="H1036" s="5">
        <f t="shared" si="29"/>
        <v>2.0819147795257214E-2</v>
      </c>
      <c r="I1036" t="s">
        <v>885</v>
      </c>
      <c r="J1036" t="s">
        <v>886</v>
      </c>
      <c r="K1036" s="6">
        <f t="shared" si="28"/>
        <v>8.3451849479737605E-2</v>
      </c>
    </row>
    <row r="1037" spans="1:11" x14ac:dyDescent="0.2">
      <c r="A1037" t="s">
        <v>882</v>
      </c>
      <c r="B1037">
        <v>2017</v>
      </c>
      <c r="C1037" t="s">
        <v>883</v>
      </c>
      <c r="D1037" t="s">
        <v>888</v>
      </c>
      <c r="E1037" s="5">
        <f>(556756/951086)*(1/14)</f>
        <v>4.1813553889223171E-2</v>
      </c>
      <c r="G1037" s="5">
        <f t="shared" si="29"/>
        <v>2.0819147795257214E-2</v>
      </c>
      <c r="H1037" s="5">
        <f t="shared" si="29"/>
        <v>2.0819147795257214E-2</v>
      </c>
      <c r="I1037" t="s">
        <v>885</v>
      </c>
      <c r="J1037" t="s">
        <v>886</v>
      </c>
      <c r="K1037" s="6">
        <f t="shared" si="28"/>
        <v>8.3451849479737605E-2</v>
      </c>
    </row>
    <row r="1038" spans="1:11" x14ac:dyDescent="0.2">
      <c r="A1038" s="9" t="s">
        <v>882</v>
      </c>
      <c r="B1038" s="9">
        <v>2019</v>
      </c>
      <c r="C1038" s="9" t="s">
        <v>889</v>
      </c>
      <c r="D1038" s="9" t="s">
        <v>888</v>
      </c>
      <c r="E1038" s="10">
        <f>(486535*(1/14))/804180</f>
        <v>4.3214827526175732E-2</v>
      </c>
      <c r="F1038" s="10"/>
      <c r="G1038" s="10">
        <f>(71811*(1/5))/804180</f>
        <v>1.7859434454972768E-2</v>
      </c>
      <c r="H1038" s="10">
        <f>(71811*(1/5))/804180</f>
        <v>1.7859434454972768E-2</v>
      </c>
      <c r="I1038" s="9" t="s">
        <v>885</v>
      </c>
      <c r="J1038" s="9" t="s">
        <v>890</v>
      </c>
      <c r="K1038" s="6">
        <f t="shared" si="28"/>
        <v>7.8933696436121276E-2</v>
      </c>
    </row>
    <row r="1039" spans="1:11" x14ac:dyDescent="0.2">
      <c r="A1039" t="s">
        <v>882</v>
      </c>
      <c r="B1039">
        <v>2010</v>
      </c>
      <c r="C1039" t="s">
        <v>883</v>
      </c>
      <c r="D1039" t="s">
        <v>891</v>
      </c>
      <c r="E1039" s="5">
        <f>(216540/651401)*(1/6)</f>
        <v>5.5403660725114025E-2</v>
      </c>
      <c r="G1039" s="5">
        <f>(29196/651401)*(1/4)</f>
        <v>1.1205079513233783E-2</v>
      </c>
      <c r="H1039" s="5">
        <f>(29196/651401)*(1/4)</f>
        <v>1.1205079513233783E-2</v>
      </c>
      <c r="I1039" t="s">
        <v>892</v>
      </c>
      <c r="J1039" t="s">
        <v>893</v>
      </c>
      <c r="K1039" s="6">
        <f t="shared" si="28"/>
        <v>7.7813819751581595E-2</v>
      </c>
    </row>
    <row r="1040" spans="1:11" x14ac:dyDescent="0.2">
      <c r="A1040" t="s">
        <v>882</v>
      </c>
      <c r="B1040">
        <v>2013</v>
      </c>
      <c r="C1040" t="s">
        <v>883</v>
      </c>
      <c r="D1040" t="s">
        <v>891</v>
      </c>
      <c r="E1040" s="5">
        <f>(522459/1101253)*(1/6)</f>
        <v>7.9070386187370195E-2</v>
      </c>
      <c r="G1040" s="5">
        <f>(210598/1101253)*(1/5)</f>
        <v>3.8246978668843579E-2</v>
      </c>
      <c r="H1040" s="5">
        <f>(210598/1101253)*(1/5)</f>
        <v>3.8246978668843579E-2</v>
      </c>
      <c r="I1040" t="s">
        <v>892</v>
      </c>
      <c r="J1040" t="s">
        <v>894</v>
      </c>
      <c r="K1040" s="6">
        <f t="shared" si="28"/>
        <v>0.15556434352505735</v>
      </c>
    </row>
    <row r="1041" spans="1:11" x14ac:dyDescent="0.2">
      <c r="A1041" t="s">
        <v>882</v>
      </c>
      <c r="B1041">
        <v>2015</v>
      </c>
      <c r="C1041" t="s">
        <v>883</v>
      </c>
      <c r="D1041" t="s">
        <v>891</v>
      </c>
      <c r="E1041" s="5">
        <f>(238899/565944)*(1/14)</f>
        <v>3.0151771704822888E-2</v>
      </c>
      <c r="G1041" s="5">
        <f>(84971/565944)*(1/5)</f>
        <v>3.0028059313288946E-2</v>
      </c>
      <c r="H1041" s="5">
        <f>(84971/565944)*(1/5)</f>
        <v>3.0028059313288946E-2</v>
      </c>
      <c r="I1041" t="s">
        <v>885</v>
      </c>
      <c r="J1041" t="s">
        <v>895</v>
      </c>
      <c r="K1041" s="6">
        <f t="shared" si="28"/>
        <v>9.0207890331400781E-2</v>
      </c>
    </row>
    <row r="1042" spans="1:11" x14ac:dyDescent="0.2">
      <c r="A1042" t="s">
        <v>882</v>
      </c>
      <c r="B1042">
        <v>2010</v>
      </c>
      <c r="C1042" t="s">
        <v>883</v>
      </c>
      <c r="D1042" t="s">
        <v>883</v>
      </c>
      <c r="E1042" s="5">
        <f>(216540/651401)*(1/6)</f>
        <v>5.5403660725114025E-2</v>
      </c>
      <c r="G1042" s="5">
        <f>(29196/651401)*(1/4)</f>
        <v>1.1205079513233783E-2</v>
      </c>
      <c r="H1042" s="5">
        <f>(29196/651401)*(1/4)</f>
        <v>1.1205079513233783E-2</v>
      </c>
      <c r="I1042" t="s">
        <v>892</v>
      </c>
      <c r="J1042" t="s">
        <v>893</v>
      </c>
      <c r="K1042" s="6">
        <f t="shared" si="28"/>
        <v>7.7813819751581595E-2</v>
      </c>
    </row>
    <row r="1043" spans="1:11" x14ac:dyDescent="0.2">
      <c r="A1043" t="s">
        <v>882</v>
      </c>
      <c r="B1043">
        <v>2011</v>
      </c>
      <c r="C1043" t="s">
        <v>883</v>
      </c>
      <c r="D1043" t="s">
        <v>883</v>
      </c>
      <c r="E1043" s="5">
        <f>(403025/696802)*(1/6)</f>
        <v>9.6398737852838159E-2</v>
      </c>
      <c r="G1043" s="5">
        <f>(78090/696802)*(1/6)</f>
        <v>1.8678189787055717E-2</v>
      </c>
      <c r="H1043" s="5">
        <f>(78090/696802)*(1/6)</f>
        <v>1.8678189787055717E-2</v>
      </c>
      <c r="I1043" t="s">
        <v>892</v>
      </c>
      <c r="J1043" t="s">
        <v>896</v>
      </c>
      <c r="K1043" s="6">
        <f t="shared" si="28"/>
        <v>0.13375511742694959</v>
      </c>
    </row>
    <row r="1044" spans="1:11" x14ac:dyDescent="0.2">
      <c r="A1044" t="s">
        <v>882</v>
      </c>
      <c r="B1044">
        <v>2012</v>
      </c>
      <c r="C1044" t="s">
        <v>883</v>
      </c>
      <c r="D1044" t="s">
        <v>883</v>
      </c>
      <c r="E1044" s="5">
        <f>(665857/1261091)*(1/6)</f>
        <v>8.8000125816984381E-2</v>
      </c>
      <c r="G1044" s="5">
        <f>(274220/1261091)*(1/6)</f>
        <v>3.6241106576237025E-2</v>
      </c>
      <c r="H1044" s="5">
        <f>(274220/1261091)*(1/6)</f>
        <v>3.6241106576237025E-2</v>
      </c>
      <c r="I1044" t="s">
        <v>892</v>
      </c>
      <c r="J1044" t="s">
        <v>896</v>
      </c>
      <c r="K1044" s="6">
        <f t="shared" si="28"/>
        <v>0.16048233896945843</v>
      </c>
    </row>
    <row r="1045" spans="1:11" x14ac:dyDescent="0.2">
      <c r="A1045" t="s">
        <v>882</v>
      </c>
      <c r="B1045">
        <v>2012</v>
      </c>
      <c r="C1045" t="s">
        <v>889</v>
      </c>
      <c r="D1045" t="s">
        <v>883</v>
      </c>
      <c r="E1045" s="5">
        <f>(665857/1261091)*(1/6)</f>
        <v>8.8000125816984381E-2</v>
      </c>
      <c r="G1045" s="5">
        <f>(274220/1261091)*(1/6)</f>
        <v>3.6241106576237025E-2</v>
      </c>
      <c r="H1045" s="5">
        <f>(274220/1261091)*(1/6)</f>
        <v>3.6241106576237025E-2</v>
      </c>
      <c r="I1045" t="s">
        <v>892</v>
      </c>
      <c r="J1045" t="s">
        <v>896</v>
      </c>
      <c r="K1045" s="6">
        <f t="shared" si="28"/>
        <v>0.16048233896945843</v>
      </c>
    </row>
    <row r="1046" spans="1:11" x14ac:dyDescent="0.2">
      <c r="A1046" t="s">
        <v>882</v>
      </c>
      <c r="B1046">
        <v>2013</v>
      </c>
      <c r="C1046" t="s">
        <v>883</v>
      </c>
      <c r="D1046" t="s">
        <v>883</v>
      </c>
      <c r="E1046" s="5">
        <f>(522459/1101253)*(1/6)</f>
        <v>7.9070386187370195E-2</v>
      </c>
      <c r="G1046" s="5">
        <f>(210598/1101253)*(1/5)</f>
        <v>3.8246978668843579E-2</v>
      </c>
      <c r="H1046" s="5">
        <f>(210598/1101253)*(1/5)</f>
        <v>3.8246978668843579E-2</v>
      </c>
      <c r="I1046" t="s">
        <v>892</v>
      </c>
      <c r="J1046" t="s">
        <v>894</v>
      </c>
      <c r="K1046" s="6">
        <f t="shared" si="28"/>
        <v>0.15556434352505735</v>
      </c>
    </row>
    <row r="1047" spans="1:11" x14ac:dyDescent="0.2">
      <c r="A1047" t="s">
        <v>882</v>
      </c>
      <c r="B1047">
        <v>2013</v>
      </c>
      <c r="C1047" t="s">
        <v>889</v>
      </c>
      <c r="D1047" t="s">
        <v>883</v>
      </c>
      <c r="E1047" s="5">
        <f>(522459/1101253)*(1/6)</f>
        <v>7.9070386187370195E-2</v>
      </c>
      <c r="G1047" s="5">
        <f>(210598/1101253)*(1/5)</f>
        <v>3.8246978668843579E-2</v>
      </c>
      <c r="H1047" s="5">
        <f>(210598/1101253)*(1/5)</f>
        <v>3.8246978668843579E-2</v>
      </c>
      <c r="I1047" t="s">
        <v>892</v>
      </c>
      <c r="J1047" t="s">
        <v>894</v>
      </c>
      <c r="K1047" s="6">
        <f t="shared" si="28"/>
        <v>0.15556434352505735</v>
      </c>
    </row>
    <row r="1048" spans="1:11" x14ac:dyDescent="0.2">
      <c r="A1048" t="s">
        <v>882</v>
      </c>
      <c r="B1048">
        <v>2014</v>
      </c>
      <c r="C1048" t="s">
        <v>883</v>
      </c>
      <c r="D1048" t="s">
        <v>883</v>
      </c>
      <c r="E1048" s="5">
        <f>(198966/567546)*(1/6)</f>
        <v>5.8428744101799671E-2</v>
      </c>
      <c r="G1048" s="5">
        <f>(232506/567546)*(1/5)</f>
        <v>8.1933799198655274E-2</v>
      </c>
      <c r="H1048" s="5">
        <f>(232506/567546)*(1/5)</f>
        <v>8.1933799198655274E-2</v>
      </c>
      <c r="I1048" t="s">
        <v>892</v>
      </c>
      <c r="J1048" t="s">
        <v>894</v>
      </c>
      <c r="K1048" s="6">
        <f t="shared" si="28"/>
        <v>0.22229634249911023</v>
      </c>
    </row>
    <row r="1049" spans="1:11" x14ac:dyDescent="0.2">
      <c r="A1049" t="s">
        <v>882</v>
      </c>
      <c r="B1049">
        <v>2014</v>
      </c>
      <c r="C1049" t="s">
        <v>889</v>
      </c>
      <c r="D1049" t="s">
        <v>883</v>
      </c>
      <c r="E1049" s="5">
        <f>(198966/567546)*(1/6)</f>
        <v>5.8428744101799671E-2</v>
      </c>
      <c r="G1049" s="5">
        <f>(232506/567546)*(1/5)</f>
        <v>8.1933799198655274E-2</v>
      </c>
      <c r="H1049" s="5">
        <f>(232506/567546)*(1/5)</f>
        <v>8.1933799198655274E-2</v>
      </c>
      <c r="I1049" t="s">
        <v>892</v>
      </c>
      <c r="J1049" t="s">
        <v>894</v>
      </c>
      <c r="K1049" s="6">
        <f t="shared" si="28"/>
        <v>0.22229634249911023</v>
      </c>
    </row>
    <row r="1050" spans="1:11" x14ac:dyDescent="0.2">
      <c r="A1050" t="s">
        <v>882</v>
      </c>
      <c r="B1050">
        <v>2015</v>
      </c>
      <c r="C1050" t="s">
        <v>883</v>
      </c>
      <c r="D1050" t="s">
        <v>883</v>
      </c>
      <c r="E1050" s="5">
        <f>(238899/565944)*(1/14)</f>
        <v>3.0151771704822888E-2</v>
      </c>
      <c r="G1050" s="5">
        <f t="shared" ref="G1050:H1052" si="30">(84971/565944)*(1/5)</f>
        <v>3.0028059313288946E-2</v>
      </c>
      <c r="H1050" s="5">
        <f t="shared" si="30"/>
        <v>3.0028059313288946E-2</v>
      </c>
      <c r="I1050" t="s">
        <v>885</v>
      </c>
      <c r="J1050" t="s">
        <v>895</v>
      </c>
      <c r="K1050" s="6">
        <f t="shared" si="28"/>
        <v>9.0207890331400781E-2</v>
      </c>
    </row>
    <row r="1051" spans="1:11" x14ac:dyDescent="0.2">
      <c r="A1051" t="s">
        <v>882</v>
      </c>
      <c r="B1051">
        <v>2015</v>
      </c>
      <c r="C1051" t="s">
        <v>889</v>
      </c>
      <c r="D1051" t="s">
        <v>883</v>
      </c>
      <c r="E1051" s="5">
        <f>(238899/565944)*(1/14)</f>
        <v>3.0151771704822888E-2</v>
      </c>
      <c r="G1051" s="5">
        <f t="shared" si="30"/>
        <v>3.0028059313288946E-2</v>
      </c>
      <c r="H1051" s="5">
        <f t="shared" si="30"/>
        <v>3.0028059313288946E-2</v>
      </c>
      <c r="I1051" t="s">
        <v>885</v>
      </c>
      <c r="J1051" t="s">
        <v>895</v>
      </c>
      <c r="K1051" s="6">
        <f t="shared" si="28"/>
        <v>9.0207890331400781E-2</v>
      </c>
    </row>
    <row r="1052" spans="1:11" x14ac:dyDescent="0.2">
      <c r="A1052" t="s">
        <v>882</v>
      </c>
      <c r="B1052">
        <v>2016</v>
      </c>
      <c r="C1052" t="s">
        <v>883</v>
      </c>
      <c r="D1052" t="s">
        <v>883</v>
      </c>
      <c r="E1052" s="5">
        <f>(238899/565944)*(1/14)</f>
        <v>3.0151771704822888E-2</v>
      </c>
      <c r="G1052" s="5">
        <f t="shared" si="30"/>
        <v>3.0028059313288946E-2</v>
      </c>
      <c r="H1052" s="5">
        <f t="shared" si="30"/>
        <v>3.0028059313288946E-2</v>
      </c>
      <c r="I1052" t="s">
        <v>885</v>
      </c>
      <c r="J1052" t="s">
        <v>895</v>
      </c>
      <c r="K1052" s="6">
        <f t="shared" si="28"/>
        <v>9.0207890331400781E-2</v>
      </c>
    </row>
    <row r="1053" spans="1:11" x14ac:dyDescent="0.2">
      <c r="A1053" t="s">
        <v>882</v>
      </c>
      <c r="B1053">
        <v>2016</v>
      </c>
      <c r="C1053" t="s">
        <v>889</v>
      </c>
      <c r="D1053" t="s">
        <v>883</v>
      </c>
      <c r="E1053" s="5">
        <f>(350480/751793)*(1/14)</f>
        <v>3.3299439758398539E-2</v>
      </c>
      <c r="G1053" s="5">
        <f>(129561/751793)*(1/5)</f>
        <v>3.4467200412879616E-2</v>
      </c>
      <c r="H1053" s="5">
        <f>(129561/751793)*(1/5)</f>
        <v>3.4467200412879616E-2</v>
      </c>
      <c r="I1053" t="s">
        <v>885</v>
      </c>
      <c r="J1053" t="s">
        <v>895</v>
      </c>
      <c r="K1053" s="6">
        <f t="shared" si="28"/>
        <v>0.10223384058415777</v>
      </c>
    </row>
    <row r="1054" spans="1:11" x14ac:dyDescent="0.2">
      <c r="A1054" t="s">
        <v>882</v>
      </c>
      <c r="B1054">
        <v>2017</v>
      </c>
      <c r="C1054" t="s">
        <v>883</v>
      </c>
      <c r="D1054" t="s">
        <v>883</v>
      </c>
      <c r="E1054" s="5">
        <f>(350480/751793)*(1/14)</f>
        <v>3.3299439758398539E-2</v>
      </c>
      <c r="G1054" s="5">
        <f>(129561/751793)*(1/5)</f>
        <v>3.4467200412879616E-2</v>
      </c>
      <c r="H1054" s="5">
        <f>(129561/751793)*(1/5)</f>
        <v>3.4467200412879616E-2</v>
      </c>
      <c r="I1054" t="s">
        <v>885</v>
      </c>
      <c r="J1054" t="s">
        <v>895</v>
      </c>
      <c r="K1054" s="6">
        <f t="shared" si="28"/>
        <v>0.10223384058415777</v>
      </c>
    </row>
    <row r="1055" spans="1:11" x14ac:dyDescent="0.2">
      <c r="A1055" t="s">
        <v>882</v>
      </c>
      <c r="B1055">
        <v>2018</v>
      </c>
      <c r="C1055" t="s">
        <v>883</v>
      </c>
      <c r="D1055" t="s">
        <v>883</v>
      </c>
      <c r="E1055" s="7">
        <f t="shared" ref="E1055:E1060" si="31">(486535*(1/14))/804180</f>
        <v>4.3214827526175732E-2</v>
      </c>
      <c r="F1055" s="7"/>
      <c r="G1055" s="7">
        <f t="shared" ref="G1055:H1060" si="32">(71811*(1/5))/804180</f>
        <v>1.7859434454972768E-2</v>
      </c>
      <c r="H1055" s="7">
        <f t="shared" si="32"/>
        <v>1.7859434454972768E-2</v>
      </c>
      <c r="I1055" t="s">
        <v>885</v>
      </c>
      <c r="J1055" t="s">
        <v>890</v>
      </c>
      <c r="K1055" s="6">
        <f t="shared" si="28"/>
        <v>7.8933696436121276E-2</v>
      </c>
    </row>
    <row r="1056" spans="1:11" x14ac:dyDescent="0.2">
      <c r="A1056" t="s">
        <v>882</v>
      </c>
      <c r="B1056">
        <v>2018</v>
      </c>
      <c r="C1056" s="8" t="s">
        <v>882</v>
      </c>
      <c r="D1056" t="s">
        <v>883</v>
      </c>
      <c r="E1056" s="7">
        <f t="shared" si="31"/>
        <v>4.3214827526175732E-2</v>
      </c>
      <c r="F1056" s="7"/>
      <c r="G1056" s="7">
        <f t="shared" si="32"/>
        <v>1.7859434454972768E-2</v>
      </c>
      <c r="H1056" s="7">
        <f t="shared" si="32"/>
        <v>1.7859434454972768E-2</v>
      </c>
      <c r="I1056" t="s">
        <v>885</v>
      </c>
      <c r="J1056" t="s">
        <v>890</v>
      </c>
      <c r="K1056" s="6">
        <f t="shared" si="28"/>
        <v>7.8933696436121276E-2</v>
      </c>
    </row>
    <row r="1057" spans="1:11" x14ac:dyDescent="0.2">
      <c r="A1057" t="s">
        <v>882</v>
      </c>
      <c r="B1057">
        <v>2018</v>
      </c>
      <c r="C1057" t="s">
        <v>889</v>
      </c>
      <c r="D1057" t="s">
        <v>897</v>
      </c>
      <c r="E1057" s="7">
        <f t="shared" si="31"/>
        <v>4.3214827526175732E-2</v>
      </c>
      <c r="F1057" s="7"/>
      <c r="G1057" s="7">
        <f t="shared" si="32"/>
        <v>1.7859434454972768E-2</v>
      </c>
      <c r="H1057" s="7">
        <f t="shared" si="32"/>
        <v>1.7859434454972768E-2</v>
      </c>
      <c r="I1057" t="s">
        <v>885</v>
      </c>
      <c r="J1057" t="s">
        <v>890</v>
      </c>
      <c r="K1057" s="6">
        <f t="shared" si="28"/>
        <v>7.8933696436121276E-2</v>
      </c>
    </row>
    <row r="1058" spans="1:11" x14ac:dyDescent="0.2">
      <c r="A1058" t="s">
        <v>882</v>
      </c>
      <c r="B1058">
        <v>2018</v>
      </c>
      <c r="C1058" t="s">
        <v>883</v>
      </c>
      <c r="D1058" t="s">
        <v>883</v>
      </c>
      <c r="E1058" s="7">
        <f t="shared" si="31"/>
        <v>4.3214827526175732E-2</v>
      </c>
      <c r="F1058" s="7"/>
      <c r="G1058" s="7">
        <f t="shared" si="32"/>
        <v>1.7859434454972768E-2</v>
      </c>
      <c r="H1058" s="7">
        <f t="shared" si="32"/>
        <v>1.7859434454972768E-2</v>
      </c>
      <c r="I1058" t="s">
        <v>885</v>
      </c>
      <c r="J1058" t="s">
        <v>890</v>
      </c>
      <c r="K1058" s="6">
        <f t="shared" si="28"/>
        <v>7.8933696436121276E-2</v>
      </c>
    </row>
    <row r="1059" spans="1:11" x14ac:dyDescent="0.2">
      <c r="A1059" s="9" t="s">
        <v>882</v>
      </c>
      <c r="B1059" s="9">
        <v>2019</v>
      </c>
      <c r="C1059" s="9" t="s">
        <v>898</v>
      </c>
      <c r="D1059" s="9" t="s">
        <v>883</v>
      </c>
      <c r="E1059" s="10">
        <f t="shared" si="31"/>
        <v>4.3214827526175732E-2</v>
      </c>
      <c r="F1059" s="10"/>
      <c r="G1059" s="10">
        <f t="shared" si="32"/>
        <v>1.7859434454972768E-2</v>
      </c>
      <c r="H1059" s="10">
        <f t="shared" si="32"/>
        <v>1.7859434454972768E-2</v>
      </c>
      <c r="I1059" s="9" t="s">
        <v>885</v>
      </c>
      <c r="J1059" s="9" t="s">
        <v>890</v>
      </c>
      <c r="K1059" s="6">
        <f t="shared" si="28"/>
        <v>7.8933696436121276E-2</v>
      </c>
    </row>
    <row r="1060" spans="1:11" x14ac:dyDescent="0.2">
      <c r="A1060" s="9" t="s">
        <v>882</v>
      </c>
      <c r="B1060" s="9">
        <v>2019</v>
      </c>
      <c r="C1060" s="9" t="s">
        <v>883</v>
      </c>
      <c r="D1060" s="9" t="s">
        <v>883</v>
      </c>
      <c r="E1060" s="10">
        <f t="shared" si="31"/>
        <v>4.3214827526175732E-2</v>
      </c>
      <c r="F1060" s="10"/>
      <c r="G1060" s="10">
        <f t="shared" si="32"/>
        <v>1.7859434454972768E-2</v>
      </c>
      <c r="H1060" s="10">
        <f t="shared" si="32"/>
        <v>1.7859434454972768E-2</v>
      </c>
      <c r="I1060" s="9" t="s">
        <v>885</v>
      </c>
      <c r="J1060" s="9" t="s">
        <v>890</v>
      </c>
      <c r="K1060" s="6">
        <f t="shared" si="28"/>
        <v>7.8933696436121276E-2</v>
      </c>
    </row>
    <row r="1061" spans="1:11" x14ac:dyDescent="0.2">
      <c r="A1061" t="s">
        <v>882</v>
      </c>
      <c r="B1061">
        <v>2017</v>
      </c>
      <c r="C1061" t="s">
        <v>883</v>
      </c>
      <c r="D1061" t="s">
        <v>899</v>
      </c>
      <c r="E1061" s="7">
        <f>(556756/951086)*(1/14)</f>
        <v>4.1813553889223171E-2</v>
      </c>
      <c r="F1061" s="7"/>
      <c r="G1061" s="7">
        <f>(99004/951086)*(1/5)</f>
        <v>2.0819147795257214E-2</v>
      </c>
      <c r="H1061" s="7">
        <f>(99004/951086)*(1/5)</f>
        <v>2.0819147795257214E-2</v>
      </c>
      <c r="I1061" t="s">
        <v>885</v>
      </c>
      <c r="J1061" t="s">
        <v>886</v>
      </c>
      <c r="K1061" s="6">
        <f t="shared" si="28"/>
        <v>8.3451849479737605E-2</v>
      </c>
    </row>
    <row r="1062" spans="1:11" x14ac:dyDescent="0.2">
      <c r="A1062" t="s">
        <v>882</v>
      </c>
      <c r="B1062">
        <v>2018</v>
      </c>
      <c r="C1062" t="s">
        <v>889</v>
      </c>
      <c r="D1062" t="s">
        <v>900</v>
      </c>
      <c r="E1062" s="7">
        <f>(486535*(1/14))/804180</f>
        <v>4.3214827526175732E-2</v>
      </c>
      <c r="F1062" s="7"/>
      <c r="G1062" s="7">
        <f>(71811*(1/5))/804180</f>
        <v>1.7859434454972768E-2</v>
      </c>
      <c r="H1062" s="7">
        <f>(71811*(1/5))/804180</f>
        <v>1.7859434454972768E-2</v>
      </c>
      <c r="I1062" t="s">
        <v>885</v>
      </c>
      <c r="J1062" t="s">
        <v>890</v>
      </c>
      <c r="K1062" s="6">
        <f t="shared" si="28"/>
        <v>7.8933696436121276E-2</v>
      </c>
    </row>
    <row r="1063" spans="1:11" x14ac:dyDescent="0.2">
      <c r="A1063" s="8" t="s">
        <v>901</v>
      </c>
      <c r="B1063">
        <v>2013</v>
      </c>
      <c r="C1063" s="8" t="s">
        <v>901</v>
      </c>
      <c r="D1063" t="s">
        <v>902</v>
      </c>
      <c r="E1063" s="11">
        <v>1</v>
      </c>
      <c r="F1063" s="11"/>
      <c r="G1063" s="11"/>
      <c r="H1063" s="11"/>
      <c r="I1063" t="s">
        <v>903</v>
      </c>
      <c r="K1063" s="6">
        <f t="shared" si="28"/>
        <v>1</v>
      </c>
    </row>
    <row r="1064" spans="1:11" x14ac:dyDescent="0.2">
      <c r="A1064" t="s">
        <v>901</v>
      </c>
      <c r="B1064">
        <v>2016</v>
      </c>
      <c r="C1064" t="s">
        <v>904</v>
      </c>
      <c r="D1064" t="s">
        <v>905</v>
      </c>
      <c r="E1064" s="5">
        <f>(15223841973654/40199777546637)</f>
        <v>0.37870463228291129</v>
      </c>
      <c r="G1064" s="5">
        <f>(6488083747529/40199777546637)</f>
        <v>0.16139601120931513</v>
      </c>
      <c r="I1064" t="s">
        <v>906</v>
      </c>
      <c r="J1064" t="s">
        <v>907</v>
      </c>
      <c r="K1064" s="6">
        <f t="shared" si="28"/>
        <v>0.54010064349222642</v>
      </c>
    </row>
    <row r="1065" spans="1:11" x14ac:dyDescent="0.2">
      <c r="A1065" s="9" t="s">
        <v>901</v>
      </c>
      <c r="B1065" s="9">
        <v>2019</v>
      </c>
      <c r="C1065" s="9" t="s">
        <v>904</v>
      </c>
      <c r="D1065" s="9" t="s">
        <v>905</v>
      </c>
      <c r="E1065" s="10">
        <f>575744.52/(575744.52+164182.24+199087.55+29472.66)</f>
        <v>0.5944783335598206</v>
      </c>
      <c r="F1065" s="10"/>
      <c r="G1065" s="10">
        <f>164182.24/(575744.52+164182.24+199087.55+29472.66)</f>
        <v>0.16952446969937032</v>
      </c>
      <c r="H1065" s="10"/>
      <c r="I1065" s="9" t="s">
        <v>908</v>
      </c>
      <c r="J1065" s="9" t="s">
        <v>909</v>
      </c>
      <c r="K1065" s="6">
        <f t="shared" si="28"/>
        <v>0.7640028032591909</v>
      </c>
    </row>
    <row r="1066" spans="1:11" x14ac:dyDescent="0.2">
      <c r="A1066" s="9" t="s">
        <v>901</v>
      </c>
      <c r="B1066" s="9">
        <v>2019</v>
      </c>
      <c r="C1066" s="9" t="s">
        <v>910</v>
      </c>
      <c r="D1066" s="9" t="s">
        <v>910</v>
      </c>
      <c r="E1066" s="10">
        <f>575744.52/(575744.52+164182.24+199087.55+29472.66)</f>
        <v>0.5944783335598206</v>
      </c>
      <c r="F1066" s="10"/>
      <c r="G1066" s="10">
        <f>164182.24/(575744.52+164182.24+199087.55+29472.66)</f>
        <v>0.16952446969937032</v>
      </c>
      <c r="H1066" s="10"/>
      <c r="I1066" s="9" t="s">
        <v>908</v>
      </c>
      <c r="J1066" s="9" t="s">
        <v>909</v>
      </c>
      <c r="K1066" s="6">
        <f t="shared" si="28"/>
        <v>0.7640028032591909</v>
      </c>
    </row>
    <row r="1067" spans="1:11" x14ac:dyDescent="0.2">
      <c r="A1067" s="9" t="s">
        <v>901</v>
      </c>
      <c r="B1067" s="9">
        <v>2019</v>
      </c>
      <c r="C1067" s="9" t="s">
        <v>910</v>
      </c>
      <c r="D1067" s="9" t="s">
        <v>910</v>
      </c>
      <c r="E1067" s="10">
        <f>575744.52/(575744.52+164182.24+199087.55+29472.66)</f>
        <v>0.5944783335598206</v>
      </c>
      <c r="F1067" s="10"/>
      <c r="G1067" s="10">
        <f>164182.24/(575744.52+164182.24+199087.55+29472.66)</f>
        <v>0.16952446969937032</v>
      </c>
      <c r="H1067" s="10"/>
      <c r="I1067" s="9" t="s">
        <v>908</v>
      </c>
      <c r="J1067" s="9" t="s">
        <v>909</v>
      </c>
      <c r="K1067" s="6">
        <f t="shared" si="28"/>
        <v>0.7640028032591909</v>
      </c>
    </row>
    <row r="1068" spans="1:11" x14ac:dyDescent="0.2">
      <c r="A1068" t="s">
        <v>901</v>
      </c>
      <c r="B1068">
        <v>2016</v>
      </c>
      <c r="C1068" t="s">
        <v>911</v>
      </c>
      <c r="D1068" t="s">
        <v>912</v>
      </c>
      <c r="E1068" s="11">
        <f>4336792970796/4492553642806</f>
        <v>0.96532914587243224</v>
      </c>
      <c r="G1068" s="11">
        <f>155760672010/4492553642806</f>
        <v>3.4670854127567763E-2</v>
      </c>
      <c r="I1068" t="s">
        <v>913</v>
      </c>
      <c r="J1068" t="s">
        <v>914</v>
      </c>
      <c r="K1068" s="6">
        <f t="shared" si="28"/>
        <v>1</v>
      </c>
    </row>
    <row r="1069" spans="1:11" x14ac:dyDescent="0.2">
      <c r="A1069" s="14" t="s">
        <v>901</v>
      </c>
      <c r="B1069" s="9">
        <v>2017</v>
      </c>
      <c r="C1069" s="14" t="s">
        <v>901</v>
      </c>
      <c r="D1069" s="9" t="s">
        <v>912</v>
      </c>
      <c r="E1069" s="13">
        <f>4336792970796/4492553642806</f>
        <v>0.96532914587243224</v>
      </c>
      <c r="F1069" s="10"/>
      <c r="G1069" s="13">
        <f>155760672010/4492553642806</f>
        <v>3.4670854127567763E-2</v>
      </c>
      <c r="H1069" s="10"/>
      <c r="I1069" s="9" t="s">
        <v>913</v>
      </c>
      <c r="J1069" s="9" t="s">
        <v>914</v>
      </c>
      <c r="K1069" s="6">
        <f t="shared" si="28"/>
        <v>1</v>
      </c>
    </row>
    <row r="1070" spans="1:11" x14ac:dyDescent="0.2">
      <c r="A1070" t="s">
        <v>901</v>
      </c>
      <c r="B1070">
        <v>2014</v>
      </c>
      <c r="C1070" t="s">
        <v>915</v>
      </c>
      <c r="D1070" t="s">
        <v>916</v>
      </c>
      <c r="E1070" s="5">
        <f>((57420+27088)/(57420+27088+5215+5938))</f>
        <v>0.88341121251084564</v>
      </c>
      <c r="G1070" s="5">
        <f>((5215+5938)/(57420+27088+5215+5938))</f>
        <v>0.11658878748915441</v>
      </c>
      <c r="I1070" t="s">
        <v>917</v>
      </c>
      <c r="J1070" t="s">
        <v>918</v>
      </c>
      <c r="K1070" s="6">
        <f t="shared" si="28"/>
        <v>1</v>
      </c>
    </row>
    <row r="1071" spans="1:11" x14ac:dyDescent="0.2">
      <c r="A1071" t="s">
        <v>901</v>
      </c>
      <c r="B1071">
        <v>2013</v>
      </c>
      <c r="C1071" t="s">
        <v>919</v>
      </c>
      <c r="D1071" t="s">
        <v>920</v>
      </c>
      <c r="E1071" s="5">
        <f>((36459+23868)/(35236+36459+23868+1438+1438))</f>
        <v>0.61283637582665407</v>
      </c>
      <c r="G1071" s="5">
        <f>(35236/(35236+36459+23868+1438+1438))</f>
        <v>0.35794756143398448</v>
      </c>
      <c r="I1071" t="s">
        <v>921</v>
      </c>
      <c r="J1071" t="s">
        <v>922</v>
      </c>
      <c r="K1071" s="6">
        <f t="shared" si="28"/>
        <v>0.97078393726063861</v>
      </c>
    </row>
    <row r="1072" spans="1:11" x14ac:dyDescent="0.2">
      <c r="A1072" s="8" t="s">
        <v>901</v>
      </c>
      <c r="B1072">
        <v>2017</v>
      </c>
      <c r="C1072" s="8" t="s">
        <v>901</v>
      </c>
      <c r="D1072" t="s">
        <v>920</v>
      </c>
      <c r="E1072" s="11">
        <f>968849319470/(968849319470+986163954964+719681135535+8494260380)</f>
        <v>0.36108132468522336</v>
      </c>
      <c r="F1072" s="11"/>
      <c r="G1072" s="11">
        <f>986163954964/(968849319470+986163954964+719681135535+8494260380)</f>
        <v>0.36753433176792988</v>
      </c>
      <c r="H1072" s="11"/>
      <c r="I1072" t="s">
        <v>923</v>
      </c>
      <c r="J1072" t="s">
        <v>924</v>
      </c>
      <c r="K1072" s="6">
        <f t="shared" si="28"/>
        <v>0.72861565645315318</v>
      </c>
    </row>
    <row r="1073" spans="1:11" x14ac:dyDescent="0.2">
      <c r="A1073" t="s">
        <v>901</v>
      </c>
      <c r="B1073">
        <v>2010</v>
      </c>
      <c r="C1073" t="s">
        <v>925</v>
      </c>
      <c r="D1073" t="s">
        <v>925</v>
      </c>
      <c r="E1073" s="5">
        <f>838071556520/1079310094841</f>
        <v>0.77648820346062053</v>
      </c>
      <c r="G1073" s="5">
        <f>241238538321/1079310094841</f>
        <v>0.22351179653937953</v>
      </c>
      <c r="I1073" t="s">
        <v>926</v>
      </c>
      <c r="J1073" t="s">
        <v>927</v>
      </c>
      <c r="K1073" s="6">
        <f t="shared" si="28"/>
        <v>1</v>
      </c>
    </row>
    <row r="1074" spans="1:11" x14ac:dyDescent="0.2">
      <c r="A1074" s="8" t="s">
        <v>901</v>
      </c>
      <c r="B1074">
        <v>2010</v>
      </c>
      <c r="C1074" s="8" t="s">
        <v>901</v>
      </c>
      <c r="D1074" t="s">
        <v>928</v>
      </c>
      <c r="E1074" s="11">
        <f>400393082211/640159851292</f>
        <v>0.62545797179080864</v>
      </c>
      <c r="G1074" s="11">
        <f>15344810041/640159851292</f>
        <v>2.397027868903431E-2</v>
      </c>
      <c r="I1074" t="s">
        <v>929</v>
      </c>
      <c r="J1074" t="s">
        <v>930</v>
      </c>
      <c r="K1074" s="6">
        <f t="shared" si="28"/>
        <v>0.64942825047984298</v>
      </c>
    </row>
    <row r="1075" spans="1:11" x14ac:dyDescent="0.2">
      <c r="A1075" s="8" t="s">
        <v>901</v>
      </c>
      <c r="B1075">
        <v>2013</v>
      </c>
      <c r="C1075" s="8" t="s">
        <v>901</v>
      </c>
      <c r="D1075" t="s">
        <v>928</v>
      </c>
      <c r="E1075" s="11">
        <f>400393082211/640159851292</f>
        <v>0.62545797179080864</v>
      </c>
      <c r="G1075" s="11">
        <f>15344810041/640159851292</f>
        <v>2.397027868903431E-2</v>
      </c>
      <c r="I1075" t="s">
        <v>929</v>
      </c>
      <c r="J1075" t="s">
        <v>930</v>
      </c>
      <c r="K1075" s="6">
        <f t="shared" si="28"/>
        <v>0.64942825047984298</v>
      </c>
    </row>
    <row r="1076" spans="1:11" x14ac:dyDescent="0.2">
      <c r="A1076" s="8" t="s">
        <v>901</v>
      </c>
      <c r="B1076">
        <v>2014</v>
      </c>
      <c r="C1076" s="8" t="s">
        <v>901</v>
      </c>
      <c r="D1076" t="s">
        <v>928</v>
      </c>
      <c r="E1076" s="11">
        <f>1232691901816/1868760136396</f>
        <v>0.65963088456783425</v>
      </c>
      <c r="G1076" s="11">
        <f>8783918111/1868760136396</f>
        <v>4.700398911515866E-3</v>
      </c>
      <c r="I1076" t="s">
        <v>929</v>
      </c>
      <c r="J1076" t="s">
        <v>931</v>
      </c>
      <c r="K1076" s="6">
        <f t="shared" si="28"/>
        <v>0.66433128347935011</v>
      </c>
    </row>
    <row r="1077" spans="1:11" x14ac:dyDescent="0.2">
      <c r="A1077" s="8" t="s">
        <v>901</v>
      </c>
      <c r="B1077">
        <v>2015</v>
      </c>
      <c r="C1077" s="8" t="s">
        <v>901</v>
      </c>
      <c r="D1077" t="s">
        <v>928</v>
      </c>
      <c r="E1077" s="11">
        <f>647430572057/958345959920</f>
        <v>0.6755708263339949</v>
      </c>
      <c r="G1077" s="11">
        <f>11217925472/958345959920</f>
        <v>1.1705507135373577E-2</v>
      </c>
      <c r="I1077" t="s">
        <v>932</v>
      </c>
      <c r="J1077" t="s">
        <v>933</v>
      </c>
      <c r="K1077" s="6">
        <f t="shared" si="28"/>
        <v>0.68727633346936845</v>
      </c>
    </row>
    <row r="1078" spans="1:11" x14ac:dyDescent="0.2">
      <c r="A1078" s="9" t="s">
        <v>901</v>
      </c>
      <c r="B1078" s="9">
        <v>2019</v>
      </c>
      <c r="C1078" s="9" t="s">
        <v>934</v>
      </c>
      <c r="D1078" s="9" t="s">
        <v>934</v>
      </c>
      <c r="E1078" s="10">
        <f>575744.52/(575744.52+164182.24+199087.55+29472.66)</f>
        <v>0.5944783335598206</v>
      </c>
      <c r="F1078" s="10"/>
      <c r="G1078" s="10">
        <f>164182.24/(575744.52+164182.24+199087.55+29472.66)</f>
        <v>0.16952446969937032</v>
      </c>
      <c r="H1078" s="10"/>
      <c r="I1078" s="9" t="s">
        <v>908</v>
      </c>
      <c r="J1078" s="9" t="s">
        <v>909</v>
      </c>
      <c r="K1078" s="6">
        <f t="shared" si="28"/>
        <v>0.7640028032591909</v>
      </c>
    </row>
    <row r="1079" spans="1:11" x14ac:dyDescent="0.2">
      <c r="A1079" s="9" t="s">
        <v>901</v>
      </c>
      <c r="B1079" s="9">
        <v>2019</v>
      </c>
      <c r="C1079" s="9" t="s">
        <v>934</v>
      </c>
      <c r="D1079" s="9" t="s">
        <v>934</v>
      </c>
      <c r="E1079" s="10">
        <f>575744.52/(575744.52+164182.24+199087.55+29472.66)</f>
        <v>0.5944783335598206</v>
      </c>
      <c r="F1079" s="10"/>
      <c r="G1079" s="10">
        <f>164182.24/(575744.52+164182.24+199087.55+29472.66)</f>
        <v>0.16952446969937032</v>
      </c>
      <c r="H1079" s="10"/>
      <c r="I1079" s="9" t="s">
        <v>908</v>
      </c>
      <c r="J1079" s="9" t="s">
        <v>909</v>
      </c>
      <c r="K1079" s="6">
        <f t="shared" si="28"/>
        <v>0.7640028032591909</v>
      </c>
    </row>
    <row r="1080" spans="1:11" x14ac:dyDescent="0.2">
      <c r="A1080" s="8" t="s">
        <v>901</v>
      </c>
      <c r="B1080">
        <v>2012</v>
      </c>
      <c r="C1080" s="8" t="s">
        <v>901</v>
      </c>
      <c r="D1080" t="s">
        <v>935</v>
      </c>
      <c r="E1080" s="11">
        <f>(5163867748452+102904077183)/5400711195528</f>
        <v>0.97519967925633444</v>
      </c>
      <c r="F1080" s="11"/>
      <c r="G1080" s="11"/>
      <c r="H1080" s="11"/>
      <c r="I1080" t="s">
        <v>936</v>
      </c>
      <c r="J1080" t="s">
        <v>937</v>
      </c>
      <c r="K1080" s="6">
        <f t="shared" si="28"/>
        <v>0.97519967925633444</v>
      </c>
    </row>
    <row r="1081" spans="1:11" x14ac:dyDescent="0.2">
      <c r="A1081" s="8" t="s">
        <v>901</v>
      </c>
      <c r="B1081">
        <v>2015</v>
      </c>
      <c r="C1081" s="8" t="s">
        <v>901</v>
      </c>
      <c r="D1081" t="s">
        <v>935</v>
      </c>
      <c r="E1081" s="11">
        <f>4979301119173/(4979301119173+142120644442+123687545609)</f>
        <v>0.94932265957097361</v>
      </c>
      <c r="I1081" t="s">
        <v>938</v>
      </c>
      <c r="J1081" t="s">
        <v>939</v>
      </c>
      <c r="K1081" s="6">
        <f t="shared" si="28"/>
        <v>0.94932265957097361</v>
      </c>
    </row>
    <row r="1082" spans="1:11" x14ac:dyDescent="0.2">
      <c r="A1082" s="8" t="s">
        <v>901</v>
      </c>
      <c r="B1082">
        <v>2015</v>
      </c>
      <c r="C1082" s="8" t="s">
        <v>901</v>
      </c>
      <c r="D1082" t="s">
        <v>915</v>
      </c>
      <c r="E1082" s="11">
        <f>4183559064810/4347500859940</f>
        <v>0.96229056637098342</v>
      </c>
      <c r="G1082" s="11">
        <f>163941795130/4347500859940</f>
        <v>3.7709433629016596E-2</v>
      </c>
      <c r="I1082" t="s">
        <v>913</v>
      </c>
      <c r="J1082" t="s">
        <v>914</v>
      </c>
      <c r="K1082" s="6">
        <f t="shared" si="28"/>
        <v>1</v>
      </c>
    </row>
    <row r="1083" spans="1:11" x14ac:dyDescent="0.2">
      <c r="A1083" s="8" t="s">
        <v>901</v>
      </c>
      <c r="B1083">
        <v>2016</v>
      </c>
      <c r="C1083" s="8" t="s">
        <v>901</v>
      </c>
      <c r="D1083" t="s">
        <v>915</v>
      </c>
      <c r="E1083" s="11">
        <f>4336792970796/4492553642806</f>
        <v>0.96532914587243224</v>
      </c>
      <c r="G1083" s="11">
        <f>155760672010/4492553642806</f>
        <v>3.4670854127567763E-2</v>
      </c>
      <c r="I1083" t="s">
        <v>913</v>
      </c>
      <c r="J1083" t="s">
        <v>914</v>
      </c>
      <c r="K1083" s="6">
        <f t="shared" si="28"/>
        <v>1</v>
      </c>
    </row>
    <row r="1084" spans="1:11" x14ac:dyDescent="0.2">
      <c r="A1084" s="14" t="s">
        <v>901</v>
      </c>
      <c r="B1084" s="9">
        <v>2017</v>
      </c>
      <c r="C1084" s="14" t="s">
        <v>901</v>
      </c>
      <c r="D1084" s="9" t="s">
        <v>915</v>
      </c>
      <c r="E1084" s="13">
        <f>4336792970796/4492553642806</f>
        <v>0.96532914587243224</v>
      </c>
      <c r="F1084" s="10"/>
      <c r="G1084" s="13">
        <f>155760672010/4492553642806</f>
        <v>3.4670854127567763E-2</v>
      </c>
      <c r="H1084" s="10"/>
      <c r="I1084" s="9" t="s">
        <v>913</v>
      </c>
      <c r="J1084" s="9" t="s">
        <v>914</v>
      </c>
      <c r="K1084" s="6">
        <f t="shared" si="28"/>
        <v>1</v>
      </c>
    </row>
    <row r="1085" spans="1:11" x14ac:dyDescent="0.2">
      <c r="A1085" t="s">
        <v>901</v>
      </c>
      <c r="B1085">
        <v>2012</v>
      </c>
      <c r="C1085" t="s">
        <v>940</v>
      </c>
      <c r="D1085" t="s">
        <v>941</v>
      </c>
      <c r="E1085" s="5">
        <f>((36147+23868)/(35762+36147+23868+1438+1438))</f>
        <v>0.6083443990552746</v>
      </c>
      <c r="G1085" s="5">
        <f>((35762)/(35762+36147+23868+1438+1438))</f>
        <v>0.36250291425501507</v>
      </c>
      <c r="I1085" t="s">
        <v>921</v>
      </c>
      <c r="J1085" t="s">
        <v>922</v>
      </c>
      <c r="K1085" s="6">
        <f t="shared" si="28"/>
        <v>0.97084731331028973</v>
      </c>
    </row>
    <row r="1086" spans="1:11" x14ac:dyDescent="0.2">
      <c r="A1086" s="8" t="s">
        <v>901</v>
      </c>
      <c r="B1086">
        <v>2010</v>
      </c>
      <c r="C1086" s="8" t="s">
        <v>901</v>
      </c>
      <c r="D1086" t="s">
        <v>942</v>
      </c>
      <c r="E1086" s="11">
        <f>855912185/2878622758</f>
        <v>0.29733391866694886</v>
      </c>
      <c r="F1086" s="11"/>
      <c r="G1086" s="11">
        <f>1108064404/2878622758</f>
        <v>0.3849286610830025</v>
      </c>
      <c r="H1086" s="11"/>
      <c r="I1086" s="5" t="s">
        <v>943</v>
      </c>
      <c r="J1086" s="5" t="s">
        <v>944</v>
      </c>
      <c r="K1086" s="6">
        <f t="shared" si="28"/>
        <v>0.6822625797499513</v>
      </c>
    </row>
    <row r="1087" spans="1:11" x14ac:dyDescent="0.2">
      <c r="A1087" s="8" t="s">
        <v>901</v>
      </c>
      <c r="B1087">
        <v>2011</v>
      </c>
      <c r="C1087" s="8" t="s">
        <v>901</v>
      </c>
      <c r="D1087" t="s">
        <v>942</v>
      </c>
      <c r="E1087" s="11">
        <f>855912185/2878622758</f>
        <v>0.29733391866694886</v>
      </c>
      <c r="F1087" s="11"/>
      <c r="G1087" s="11">
        <f>1108064404/2878622758</f>
        <v>0.3849286610830025</v>
      </c>
      <c r="H1087" s="11"/>
      <c r="I1087" s="5" t="s">
        <v>943</v>
      </c>
      <c r="J1087" s="5" t="s">
        <v>944</v>
      </c>
      <c r="K1087" s="6">
        <f t="shared" si="28"/>
        <v>0.6822625797499513</v>
      </c>
    </row>
    <row r="1088" spans="1:11" x14ac:dyDescent="0.2">
      <c r="A1088" s="8" t="s">
        <v>901</v>
      </c>
      <c r="B1088">
        <v>2012</v>
      </c>
      <c r="C1088" s="8" t="s">
        <v>901</v>
      </c>
      <c r="D1088" t="s">
        <v>942</v>
      </c>
      <c r="E1088" s="11">
        <f>855912185/2878622758</f>
        <v>0.29733391866694886</v>
      </c>
      <c r="F1088" s="11"/>
      <c r="G1088" s="11">
        <f>1108064404/2878622758</f>
        <v>0.3849286610830025</v>
      </c>
      <c r="H1088" s="11"/>
      <c r="I1088" s="5" t="s">
        <v>943</v>
      </c>
      <c r="J1088" s="5" t="s">
        <v>944</v>
      </c>
      <c r="K1088" s="6">
        <f t="shared" si="28"/>
        <v>0.6822625797499513</v>
      </c>
    </row>
    <row r="1089" spans="1:13" x14ac:dyDescent="0.2">
      <c r="A1089" s="8" t="s">
        <v>901</v>
      </c>
      <c r="B1089">
        <v>2013</v>
      </c>
      <c r="C1089" s="8" t="s">
        <v>901</v>
      </c>
      <c r="D1089" t="s">
        <v>942</v>
      </c>
      <c r="E1089" s="11">
        <f>855912185/2878622758</f>
        <v>0.29733391866694886</v>
      </c>
      <c r="G1089" s="11">
        <f>1108064404/2878622758</f>
        <v>0.3849286610830025</v>
      </c>
      <c r="I1089" s="5" t="s">
        <v>943</v>
      </c>
      <c r="J1089" s="5" t="s">
        <v>944</v>
      </c>
      <c r="K1089" s="6">
        <f t="shared" si="28"/>
        <v>0.6822625797499513</v>
      </c>
    </row>
    <row r="1090" spans="1:13" x14ac:dyDescent="0.2">
      <c r="A1090" t="s">
        <v>901</v>
      </c>
      <c r="B1090">
        <v>2015</v>
      </c>
      <c r="C1090" t="s">
        <v>942</v>
      </c>
      <c r="D1090" t="s">
        <v>942</v>
      </c>
      <c r="E1090" s="5">
        <f>(855912185/2878622758)</f>
        <v>0.29733391866694886</v>
      </c>
      <c r="G1090" s="5">
        <f>(1108064404/2878622758)</f>
        <v>0.3849286610830025</v>
      </c>
      <c r="I1090" t="s">
        <v>945</v>
      </c>
      <c r="J1090" t="s">
        <v>946</v>
      </c>
      <c r="K1090" s="6">
        <f t="shared" ref="K1090:K1153" si="33">SUM(E1090:H1090)</f>
        <v>0.6822625797499513</v>
      </c>
    </row>
    <row r="1091" spans="1:13" x14ac:dyDescent="0.2">
      <c r="A1091" t="s">
        <v>901</v>
      </c>
      <c r="B1091">
        <v>2016</v>
      </c>
      <c r="C1091" s="8" t="s">
        <v>901</v>
      </c>
      <c r="D1091" t="s">
        <v>942</v>
      </c>
      <c r="E1091" s="7">
        <f>298878821905/1070663259468</f>
        <v>0.2791529636064185</v>
      </c>
      <c r="F1091" s="7"/>
      <c r="G1091" s="7">
        <f>261910154114/1070663259468</f>
        <v>0.24462421008463489</v>
      </c>
      <c r="H1091" s="7"/>
      <c r="I1091" t="s">
        <v>947</v>
      </c>
      <c r="J1091" t="s">
        <v>948</v>
      </c>
      <c r="K1091" s="6">
        <f t="shared" si="33"/>
        <v>0.52377717369105337</v>
      </c>
    </row>
    <row r="1092" spans="1:13" x14ac:dyDescent="0.2">
      <c r="A1092" t="s">
        <v>901</v>
      </c>
      <c r="B1092">
        <v>2017</v>
      </c>
      <c r="C1092" s="8" t="s">
        <v>901</v>
      </c>
      <c r="D1092" t="s">
        <v>942</v>
      </c>
      <c r="E1092" s="7">
        <f>344067600962/1170330861792</f>
        <v>0.29399173532445927</v>
      </c>
      <c r="G1092" s="5">
        <f>250001764585/1170330861792</f>
        <v>0.21361631376805665</v>
      </c>
      <c r="I1092" t="s">
        <v>947</v>
      </c>
      <c r="J1092" t="s">
        <v>949</v>
      </c>
      <c r="K1092" s="6">
        <f t="shared" si="33"/>
        <v>0.50760804909251589</v>
      </c>
    </row>
    <row r="1093" spans="1:13" x14ac:dyDescent="0.2">
      <c r="A1093" t="s">
        <v>901</v>
      </c>
      <c r="B1093">
        <v>2018</v>
      </c>
      <c r="C1093" s="8" t="s">
        <v>901</v>
      </c>
      <c r="D1093" t="s">
        <v>942</v>
      </c>
      <c r="E1093" s="5">
        <f>346533823406/1300406589600</f>
        <v>0.26648113457545031</v>
      </c>
      <c r="G1093" s="5">
        <f>312287583157/1300406589600</f>
        <v>0.24014610942033018</v>
      </c>
      <c r="I1093" t="s">
        <v>947</v>
      </c>
      <c r="J1093" t="s">
        <v>949</v>
      </c>
      <c r="K1093" s="6">
        <f t="shared" si="33"/>
        <v>0.50662724399578052</v>
      </c>
    </row>
    <row r="1094" spans="1:13" x14ac:dyDescent="0.2">
      <c r="A1094" s="8" t="s">
        <v>901</v>
      </c>
      <c r="B1094">
        <v>2012</v>
      </c>
      <c r="C1094" s="8" t="s">
        <v>901</v>
      </c>
      <c r="D1094" t="s">
        <v>950</v>
      </c>
      <c r="E1094" s="11">
        <v>0</v>
      </c>
      <c r="F1094" s="11">
        <v>0</v>
      </c>
      <c r="G1094" s="11">
        <v>0</v>
      </c>
      <c r="H1094" s="11">
        <v>0</v>
      </c>
      <c r="I1094" t="s">
        <v>951</v>
      </c>
      <c r="K1094" s="6">
        <f t="shared" si="33"/>
        <v>0</v>
      </c>
      <c r="M1094" t="s">
        <v>69</v>
      </c>
    </row>
    <row r="1095" spans="1:13" x14ac:dyDescent="0.2">
      <c r="A1095" s="8" t="s">
        <v>901</v>
      </c>
      <c r="B1095">
        <v>2014</v>
      </c>
      <c r="C1095" s="8" t="s">
        <v>901</v>
      </c>
      <c r="D1095" t="s">
        <v>950</v>
      </c>
      <c r="E1095" s="11">
        <v>0</v>
      </c>
      <c r="F1095" s="11">
        <v>0</v>
      </c>
      <c r="G1095" s="11">
        <v>0</v>
      </c>
      <c r="H1095" s="11">
        <v>0</v>
      </c>
      <c r="I1095" t="s">
        <v>951</v>
      </c>
      <c r="K1095" s="6">
        <f t="shared" si="33"/>
        <v>0</v>
      </c>
      <c r="M1095" t="s">
        <v>69</v>
      </c>
    </row>
    <row r="1096" spans="1:13" x14ac:dyDescent="0.2">
      <c r="A1096" s="8" t="s">
        <v>901</v>
      </c>
      <c r="B1096">
        <v>2015</v>
      </c>
      <c r="C1096" s="8" t="s">
        <v>901</v>
      </c>
      <c r="D1096" t="s">
        <v>950</v>
      </c>
      <c r="E1096" s="11">
        <v>0</v>
      </c>
      <c r="F1096" s="11">
        <v>0</v>
      </c>
      <c r="G1096" s="11">
        <v>0</v>
      </c>
      <c r="H1096" s="11">
        <v>0</v>
      </c>
      <c r="I1096" t="s">
        <v>951</v>
      </c>
      <c r="K1096" s="6">
        <f t="shared" si="33"/>
        <v>0</v>
      </c>
      <c r="M1096" t="s">
        <v>69</v>
      </c>
    </row>
    <row r="1097" spans="1:13" x14ac:dyDescent="0.2">
      <c r="A1097" s="8" t="s">
        <v>901</v>
      </c>
      <c r="B1097">
        <v>2016</v>
      </c>
      <c r="C1097" s="8" t="s">
        <v>901</v>
      </c>
      <c r="D1097" t="s">
        <v>950</v>
      </c>
      <c r="E1097" s="11">
        <v>0</v>
      </c>
      <c r="F1097" s="11">
        <v>0</v>
      </c>
      <c r="G1097" s="11">
        <v>0</v>
      </c>
      <c r="H1097" s="11">
        <v>0</v>
      </c>
      <c r="I1097" t="s">
        <v>951</v>
      </c>
      <c r="K1097" s="6">
        <f t="shared" si="33"/>
        <v>0</v>
      </c>
      <c r="M1097" t="s">
        <v>69</v>
      </c>
    </row>
    <row r="1098" spans="1:13" x14ac:dyDescent="0.2">
      <c r="A1098" s="8" t="s">
        <v>901</v>
      </c>
      <c r="B1098">
        <v>2017</v>
      </c>
      <c r="C1098" s="8" t="s">
        <v>901</v>
      </c>
      <c r="D1098" t="s">
        <v>950</v>
      </c>
      <c r="E1098" s="11">
        <v>0</v>
      </c>
      <c r="F1098" s="11">
        <v>0</v>
      </c>
      <c r="G1098" s="11">
        <v>0</v>
      </c>
      <c r="H1098" s="11">
        <v>0</v>
      </c>
      <c r="I1098" t="s">
        <v>951</v>
      </c>
      <c r="K1098" s="6">
        <f t="shared" si="33"/>
        <v>0</v>
      </c>
      <c r="M1098" t="s">
        <v>69</v>
      </c>
    </row>
    <row r="1099" spans="1:13" x14ac:dyDescent="0.2">
      <c r="A1099" t="s">
        <v>901</v>
      </c>
      <c r="B1099">
        <v>2013</v>
      </c>
      <c r="C1099" s="8" t="s">
        <v>901</v>
      </c>
      <c r="D1099" t="s">
        <v>952</v>
      </c>
      <c r="E1099" s="11">
        <v>0</v>
      </c>
      <c r="F1099" s="11">
        <v>0</v>
      </c>
      <c r="G1099" s="11">
        <v>0</v>
      </c>
      <c r="H1099" s="11">
        <v>0</v>
      </c>
      <c r="I1099" t="s">
        <v>951</v>
      </c>
      <c r="K1099" s="6">
        <f t="shared" si="33"/>
        <v>0</v>
      </c>
      <c r="M1099" t="s">
        <v>69</v>
      </c>
    </row>
    <row r="1100" spans="1:13" x14ac:dyDescent="0.2">
      <c r="A1100" s="8" t="s">
        <v>901</v>
      </c>
      <c r="B1100">
        <v>2014</v>
      </c>
      <c r="C1100" s="8" t="s">
        <v>901</v>
      </c>
      <c r="D1100" t="s">
        <v>952</v>
      </c>
      <c r="E1100" s="11">
        <v>0</v>
      </c>
      <c r="F1100" s="11">
        <v>0</v>
      </c>
      <c r="G1100" s="11">
        <v>0</v>
      </c>
      <c r="H1100" s="11">
        <v>0</v>
      </c>
      <c r="I1100" t="s">
        <v>951</v>
      </c>
      <c r="K1100" s="6">
        <f t="shared" si="33"/>
        <v>0</v>
      </c>
      <c r="M1100" t="s">
        <v>69</v>
      </c>
    </row>
    <row r="1101" spans="1:13" x14ac:dyDescent="0.2">
      <c r="A1101" s="8" t="s">
        <v>901</v>
      </c>
      <c r="B1101">
        <v>2015</v>
      </c>
      <c r="C1101" s="8" t="s">
        <v>901</v>
      </c>
      <c r="D1101" t="s">
        <v>952</v>
      </c>
      <c r="E1101" s="11">
        <v>0</v>
      </c>
      <c r="F1101" s="11">
        <v>0</v>
      </c>
      <c r="G1101" s="11">
        <v>0</v>
      </c>
      <c r="H1101" s="11">
        <v>0</v>
      </c>
      <c r="I1101" t="s">
        <v>951</v>
      </c>
      <c r="K1101" s="6">
        <f t="shared" si="33"/>
        <v>0</v>
      </c>
      <c r="M1101" t="s">
        <v>69</v>
      </c>
    </row>
    <row r="1102" spans="1:13" x14ac:dyDescent="0.2">
      <c r="A1102" s="8" t="s">
        <v>901</v>
      </c>
      <c r="B1102">
        <v>2016</v>
      </c>
      <c r="C1102" s="8" t="s">
        <v>901</v>
      </c>
      <c r="D1102" t="s">
        <v>952</v>
      </c>
      <c r="E1102" s="11">
        <v>0</v>
      </c>
      <c r="F1102" s="11">
        <v>0</v>
      </c>
      <c r="G1102" s="11">
        <v>0</v>
      </c>
      <c r="H1102" s="11">
        <v>0</v>
      </c>
      <c r="I1102" t="s">
        <v>951</v>
      </c>
      <c r="K1102" s="6">
        <f t="shared" si="33"/>
        <v>0</v>
      </c>
      <c r="M1102" t="s">
        <v>69</v>
      </c>
    </row>
    <row r="1103" spans="1:13" x14ac:dyDescent="0.2">
      <c r="A1103" t="s">
        <v>901</v>
      </c>
      <c r="B1103">
        <v>2017</v>
      </c>
      <c r="C1103" s="8" t="s">
        <v>901</v>
      </c>
      <c r="D1103" t="s">
        <v>952</v>
      </c>
      <c r="E1103" s="11">
        <v>0</v>
      </c>
      <c r="F1103" s="11">
        <v>0</v>
      </c>
      <c r="G1103" s="11">
        <v>0</v>
      </c>
      <c r="H1103" s="11">
        <v>0</v>
      </c>
      <c r="I1103" t="s">
        <v>951</v>
      </c>
      <c r="K1103" s="6">
        <f t="shared" si="33"/>
        <v>0</v>
      </c>
      <c r="M1103" t="s">
        <v>69</v>
      </c>
    </row>
    <row r="1104" spans="1:13" x14ac:dyDescent="0.2">
      <c r="A1104" t="s">
        <v>901</v>
      </c>
      <c r="B1104">
        <v>2018</v>
      </c>
      <c r="C1104" s="8" t="s">
        <v>901</v>
      </c>
      <c r="D1104" t="s">
        <v>952</v>
      </c>
      <c r="E1104" s="11">
        <v>0</v>
      </c>
      <c r="F1104" s="11">
        <v>0</v>
      </c>
      <c r="G1104" s="11">
        <v>0</v>
      </c>
      <c r="H1104" s="11">
        <v>0</v>
      </c>
      <c r="I1104" t="s">
        <v>951</v>
      </c>
      <c r="K1104" s="6">
        <f t="shared" si="33"/>
        <v>0</v>
      </c>
      <c r="M1104" t="s">
        <v>69</v>
      </c>
    </row>
    <row r="1105" spans="1:11" x14ac:dyDescent="0.2">
      <c r="A1105" t="s">
        <v>901</v>
      </c>
      <c r="B1105">
        <v>2012</v>
      </c>
      <c r="C1105" s="8" t="s">
        <v>901</v>
      </c>
      <c r="D1105" s="8" t="s">
        <v>953</v>
      </c>
      <c r="G1105" s="5">
        <f>18475.51/44658.08</f>
        <v>0.41371035207962359</v>
      </c>
      <c r="I1105" t="s">
        <v>954</v>
      </c>
      <c r="J1105" t="s">
        <v>955</v>
      </c>
      <c r="K1105" s="6">
        <f t="shared" si="33"/>
        <v>0.41371035207962359</v>
      </c>
    </row>
    <row r="1106" spans="1:11" x14ac:dyDescent="0.2">
      <c r="A1106" t="s">
        <v>901</v>
      </c>
      <c r="B1106">
        <v>2013</v>
      </c>
      <c r="C1106" s="8" t="s">
        <v>901</v>
      </c>
      <c r="D1106" s="8" t="s">
        <v>953</v>
      </c>
      <c r="G1106" s="5">
        <f>18502.67/45765.48</f>
        <v>0.4042931484603679</v>
      </c>
      <c r="I1106" t="s">
        <v>954</v>
      </c>
      <c r="J1106" t="s">
        <v>955</v>
      </c>
      <c r="K1106" s="6">
        <f t="shared" si="33"/>
        <v>0.4042931484603679</v>
      </c>
    </row>
    <row r="1107" spans="1:11" x14ac:dyDescent="0.2">
      <c r="A1107" t="s">
        <v>901</v>
      </c>
      <c r="B1107">
        <v>2014</v>
      </c>
      <c r="C1107" s="8" t="s">
        <v>901</v>
      </c>
      <c r="D1107" s="8" t="s">
        <v>953</v>
      </c>
      <c r="G1107" s="5">
        <f>18473.86/44449.54</f>
        <v>0.41561419983198927</v>
      </c>
      <c r="I1107" t="s">
        <v>954</v>
      </c>
      <c r="J1107" t="s">
        <v>955</v>
      </c>
      <c r="K1107" s="6">
        <f t="shared" si="33"/>
        <v>0.41561419983198927</v>
      </c>
    </row>
    <row r="1108" spans="1:11" x14ac:dyDescent="0.2">
      <c r="A1108" t="s">
        <v>901</v>
      </c>
      <c r="B1108">
        <v>2015</v>
      </c>
      <c r="C1108" s="8" t="s">
        <v>901</v>
      </c>
      <c r="D1108" s="8" t="s">
        <v>953</v>
      </c>
      <c r="G1108" s="5">
        <f>17487.33/42820.43</f>
        <v>0.40838753837829284</v>
      </c>
      <c r="I1108" t="s">
        <v>954</v>
      </c>
      <c r="J1108" t="s">
        <v>955</v>
      </c>
      <c r="K1108" s="6">
        <f t="shared" si="33"/>
        <v>0.40838753837829284</v>
      </c>
    </row>
    <row r="1109" spans="1:11" x14ac:dyDescent="0.2">
      <c r="A1109" t="s">
        <v>901</v>
      </c>
      <c r="B1109">
        <v>2016</v>
      </c>
      <c r="C1109" s="8" t="s">
        <v>901</v>
      </c>
      <c r="D1109" s="8" t="s">
        <v>953</v>
      </c>
      <c r="G1109" s="5">
        <f>16785.15/43377.82</f>
        <v>0.38695236413448164</v>
      </c>
      <c r="I1109" t="s">
        <v>954</v>
      </c>
      <c r="J1109" t="s">
        <v>955</v>
      </c>
      <c r="K1109" s="6">
        <f t="shared" si="33"/>
        <v>0.38695236413448164</v>
      </c>
    </row>
    <row r="1110" spans="1:11" x14ac:dyDescent="0.2">
      <c r="A1110" t="s">
        <v>901</v>
      </c>
      <c r="B1110">
        <v>2017</v>
      </c>
      <c r="C1110" s="8" t="s">
        <v>901</v>
      </c>
      <c r="D1110" s="8" t="s">
        <v>953</v>
      </c>
      <c r="G1110" s="5">
        <f>15778.41/43433.29</f>
        <v>0.36327918055482328</v>
      </c>
      <c r="I1110" t="s">
        <v>954</v>
      </c>
      <c r="J1110" t="s">
        <v>955</v>
      </c>
      <c r="K1110" s="6">
        <f t="shared" si="33"/>
        <v>0.36327918055482328</v>
      </c>
    </row>
    <row r="1111" spans="1:11" x14ac:dyDescent="0.2">
      <c r="A1111" s="8" t="s">
        <v>901</v>
      </c>
      <c r="B1111">
        <v>2012</v>
      </c>
      <c r="C1111" s="8" t="s">
        <v>901</v>
      </c>
      <c r="D1111" t="s">
        <v>956</v>
      </c>
      <c r="E1111" s="11">
        <f>2468441117871/2953172632723</f>
        <v>0.83586075887306022</v>
      </c>
      <c r="F1111" s="11"/>
      <c r="G1111" s="11">
        <f>484731514852/2953172632723</f>
        <v>0.16413924112693976</v>
      </c>
      <c r="H1111" s="11"/>
      <c r="I1111" t="s">
        <v>957</v>
      </c>
      <c r="J1111" t="s">
        <v>958</v>
      </c>
      <c r="K1111" s="6">
        <f t="shared" si="33"/>
        <v>1</v>
      </c>
    </row>
    <row r="1112" spans="1:11" x14ac:dyDescent="0.2">
      <c r="A1112" s="8" t="s">
        <v>901</v>
      </c>
      <c r="B1112">
        <v>2014</v>
      </c>
      <c r="C1112" s="8" t="s">
        <v>901</v>
      </c>
      <c r="D1112" t="s">
        <v>956</v>
      </c>
      <c r="E1112" s="11">
        <f>2919043018796/(2919043018796+147445091437+14501399331)</f>
        <v>0.94743685745592898</v>
      </c>
      <c r="F1112" s="11"/>
      <c r="G1112" s="11">
        <f>147445091437/(2919043018796+147445091437+14501399331)</f>
        <v>4.7856408137483528E-2</v>
      </c>
      <c r="H1112" s="11"/>
      <c r="I1112" t="s">
        <v>957</v>
      </c>
      <c r="J1112" t="s">
        <v>959</v>
      </c>
      <c r="K1112" s="6">
        <f t="shared" si="33"/>
        <v>0.99529326559341247</v>
      </c>
    </row>
    <row r="1113" spans="1:11" x14ac:dyDescent="0.2">
      <c r="A1113" s="8" t="s">
        <v>901</v>
      </c>
      <c r="B1113">
        <v>2015</v>
      </c>
      <c r="C1113" s="8" t="s">
        <v>901</v>
      </c>
      <c r="D1113" t="s">
        <v>956</v>
      </c>
      <c r="E1113" s="11">
        <f>2189651953928/(2189651953928+222231587663+19837168467)</f>
        <v>0.90045371776094041</v>
      </c>
      <c r="F1113" s="11"/>
      <c r="G1113" s="11">
        <f>222231587663/(2189651953928+222231587663+19837168467)</f>
        <v>9.1388614960514716E-2</v>
      </c>
      <c r="H1113" s="11"/>
      <c r="I1113" t="s">
        <v>957</v>
      </c>
      <c r="J1113" t="s">
        <v>959</v>
      </c>
      <c r="K1113" s="6">
        <f t="shared" si="33"/>
        <v>0.99184233272145517</v>
      </c>
    </row>
    <row r="1114" spans="1:11" x14ac:dyDescent="0.2">
      <c r="A1114" s="8" t="s">
        <v>901</v>
      </c>
      <c r="B1114">
        <v>2016</v>
      </c>
      <c r="C1114" s="8" t="s">
        <v>901</v>
      </c>
      <c r="D1114" t="s">
        <v>956</v>
      </c>
      <c r="E1114" s="11">
        <f>2030866928837/(2030866928837+286633083450+15292965414)</f>
        <v>0.87057314911777883</v>
      </c>
      <c r="F1114" s="11"/>
      <c r="G1114" s="11">
        <f>286633083450/(2030866928837+286633083450+15292965414)</f>
        <v>0.12287120468464412</v>
      </c>
      <c r="H1114" s="11"/>
      <c r="I1114" t="s">
        <v>957</v>
      </c>
      <c r="J1114" t="s">
        <v>960</v>
      </c>
      <c r="K1114" s="6">
        <f t="shared" si="33"/>
        <v>0.99344435380242291</v>
      </c>
    </row>
    <row r="1115" spans="1:11" x14ac:dyDescent="0.2">
      <c r="A1115" t="s">
        <v>901</v>
      </c>
      <c r="B1115">
        <v>2012</v>
      </c>
      <c r="C1115" t="s">
        <v>940</v>
      </c>
      <c r="D1115" t="s">
        <v>961</v>
      </c>
      <c r="E1115" s="5">
        <f>(118783/(118783+44634))</f>
        <v>0.72687052142677933</v>
      </c>
      <c r="G1115" s="5">
        <f>(44634/(118783+44634))</f>
        <v>0.27312947857322067</v>
      </c>
      <c r="I1115" t="s">
        <v>962</v>
      </c>
      <c r="J1115" t="s">
        <v>963</v>
      </c>
      <c r="K1115" s="6">
        <f t="shared" si="33"/>
        <v>1</v>
      </c>
    </row>
    <row r="1116" spans="1:11" x14ac:dyDescent="0.2">
      <c r="A1116" t="s">
        <v>901</v>
      </c>
      <c r="B1116">
        <v>2017</v>
      </c>
      <c r="C1116" s="8" t="s">
        <v>901</v>
      </c>
      <c r="D1116" s="8" t="s">
        <v>964</v>
      </c>
      <c r="E1116" s="7">
        <f>22070/(22070+4902+3960+1440)</f>
        <v>0.68176201655751889</v>
      </c>
      <c r="F1116" s="7"/>
      <c r="G1116" s="7">
        <f>4902/(22070+4902+3960+1440)</f>
        <v>0.15142715927344619</v>
      </c>
      <c r="H1116" s="7"/>
      <c r="I1116" t="s">
        <v>954</v>
      </c>
      <c r="J1116" t="s">
        <v>965</v>
      </c>
      <c r="K1116" s="6">
        <f t="shared" si="33"/>
        <v>0.83318917583096508</v>
      </c>
    </row>
    <row r="1117" spans="1:11" x14ac:dyDescent="0.2">
      <c r="A1117" s="8" t="s">
        <v>901</v>
      </c>
      <c r="B1117">
        <v>2014</v>
      </c>
      <c r="C1117" s="8" t="s">
        <v>901</v>
      </c>
      <c r="D1117" t="s">
        <v>966</v>
      </c>
      <c r="E1117" s="11">
        <v>1</v>
      </c>
      <c r="F1117" s="11"/>
      <c r="G1117" s="11"/>
      <c r="H1117" s="11"/>
      <c r="I1117" s="5" t="s">
        <v>967</v>
      </c>
      <c r="K1117" s="6">
        <f t="shared" si="33"/>
        <v>1</v>
      </c>
    </row>
    <row r="1118" spans="1:11" x14ac:dyDescent="0.2">
      <c r="A1118" t="s">
        <v>968</v>
      </c>
      <c r="B1118">
        <v>2016</v>
      </c>
      <c r="C1118" s="8" t="s">
        <v>968</v>
      </c>
      <c r="D1118" t="s">
        <v>969</v>
      </c>
      <c r="H1118" s="5">
        <v>1</v>
      </c>
      <c r="I1118" t="s">
        <v>970</v>
      </c>
      <c r="J1118" t="s">
        <v>971</v>
      </c>
      <c r="K1118" s="6">
        <f t="shared" si="33"/>
        <v>1</v>
      </c>
    </row>
    <row r="1119" spans="1:11" x14ac:dyDescent="0.2">
      <c r="A1119" t="s">
        <v>968</v>
      </c>
      <c r="B1119">
        <v>2016</v>
      </c>
      <c r="C1119" s="8" t="s">
        <v>968</v>
      </c>
      <c r="D1119" t="s">
        <v>972</v>
      </c>
      <c r="H1119" s="5">
        <v>1</v>
      </c>
      <c r="I1119" t="s">
        <v>973</v>
      </c>
      <c r="J1119" t="s">
        <v>971</v>
      </c>
      <c r="K1119" s="6">
        <f t="shared" si="33"/>
        <v>1</v>
      </c>
    </row>
    <row r="1120" spans="1:11" x14ac:dyDescent="0.2">
      <c r="A1120" t="s">
        <v>968</v>
      </c>
      <c r="B1120">
        <v>2018</v>
      </c>
      <c r="C1120" s="8" t="s">
        <v>968</v>
      </c>
      <c r="D1120" t="s">
        <v>974</v>
      </c>
      <c r="H1120" s="5">
        <v>1</v>
      </c>
      <c r="I1120" t="s">
        <v>975</v>
      </c>
      <c r="J1120" t="s">
        <v>971</v>
      </c>
      <c r="K1120" s="6">
        <f t="shared" si="33"/>
        <v>1</v>
      </c>
    </row>
    <row r="1121" spans="1:11" x14ac:dyDescent="0.2">
      <c r="A1121" s="8" t="s">
        <v>968</v>
      </c>
      <c r="B1121">
        <v>2013</v>
      </c>
      <c r="C1121" s="8" t="s">
        <v>968</v>
      </c>
      <c r="D1121" t="s">
        <v>976</v>
      </c>
      <c r="E1121" s="11">
        <v>0</v>
      </c>
      <c r="F1121" s="11">
        <v>0</v>
      </c>
      <c r="G1121" s="11">
        <v>0</v>
      </c>
      <c r="H1121" s="11">
        <v>0</v>
      </c>
      <c r="I1121" t="s">
        <v>951</v>
      </c>
      <c r="K1121" s="6">
        <f t="shared" si="33"/>
        <v>0</v>
      </c>
    </row>
    <row r="1122" spans="1:11" x14ac:dyDescent="0.2">
      <c r="A1122" s="8" t="s">
        <v>968</v>
      </c>
      <c r="B1122">
        <v>2011</v>
      </c>
      <c r="C1122" s="8" t="s">
        <v>968</v>
      </c>
      <c r="D1122" t="s">
        <v>968</v>
      </c>
      <c r="E1122" s="11"/>
      <c r="F1122" s="11"/>
      <c r="G1122" s="11"/>
      <c r="H1122" s="11">
        <f>(1413850+83739+116071)/3144314</f>
        <v>0.51319938148670907</v>
      </c>
      <c r="I1122" t="s">
        <v>977</v>
      </c>
      <c r="J1122" t="s">
        <v>978</v>
      </c>
      <c r="K1122" s="6">
        <f t="shared" si="33"/>
        <v>0.51319938148670907</v>
      </c>
    </row>
    <row r="1123" spans="1:11" x14ac:dyDescent="0.2">
      <c r="A1123" t="s">
        <v>968</v>
      </c>
      <c r="B1123">
        <v>2016</v>
      </c>
      <c r="C1123" s="8" t="s">
        <v>968</v>
      </c>
      <c r="D1123" t="s">
        <v>968</v>
      </c>
      <c r="H1123" s="5">
        <v>1</v>
      </c>
      <c r="I1123" t="s">
        <v>979</v>
      </c>
      <c r="J1123" t="s">
        <v>980</v>
      </c>
      <c r="K1123" s="6">
        <f t="shared" si="33"/>
        <v>1</v>
      </c>
    </row>
    <row r="1124" spans="1:11" x14ac:dyDescent="0.2">
      <c r="A1124" t="s">
        <v>968</v>
      </c>
      <c r="B1124">
        <v>2017</v>
      </c>
      <c r="C1124" s="8" t="s">
        <v>968</v>
      </c>
      <c r="D1124" t="s">
        <v>968</v>
      </c>
      <c r="H1124" s="5">
        <v>1</v>
      </c>
      <c r="I1124" t="s">
        <v>979</v>
      </c>
      <c r="J1124" t="s">
        <v>980</v>
      </c>
      <c r="K1124" s="6">
        <f t="shared" si="33"/>
        <v>1</v>
      </c>
    </row>
    <row r="1125" spans="1:11" x14ac:dyDescent="0.2">
      <c r="A1125" t="s">
        <v>981</v>
      </c>
      <c r="B1125">
        <v>2018</v>
      </c>
      <c r="C1125" t="s">
        <v>982</v>
      </c>
      <c r="D1125" t="s">
        <v>982</v>
      </c>
      <c r="E1125" s="5">
        <v>1</v>
      </c>
      <c r="I1125" t="s">
        <v>983</v>
      </c>
      <c r="J1125" t="s">
        <v>984</v>
      </c>
      <c r="K1125" s="6">
        <f t="shared" si="33"/>
        <v>1</v>
      </c>
    </row>
    <row r="1126" spans="1:11" x14ac:dyDescent="0.2">
      <c r="A1126" t="s">
        <v>981</v>
      </c>
      <c r="B1126">
        <v>2018</v>
      </c>
      <c r="C1126" t="s">
        <v>982</v>
      </c>
      <c r="D1126" t="s">
        <v>982</v>
      </c>
      <c r="E1126" s="5">
        <v>1</v>
      </c>
      <c r="I1126" t="s">
        <v>983</v>
      </c>
      <c r="J1126" t="s">
        <v>984</v>
      </c>
      <c r="K1126" s="6">
        <f t="shared" si="33"/>
        <v>1</v>
      </c>
    </row>
    <row r="1127" spans="1:11" x14ac:dyDescent="0.2">
      <c r="A1127" t="s">
        <v>981</v>
      </c>
      <c r="B1127">
        <v>2013</v>
      </c>
      <c r="C1127" t="s">
        <v>981</v>
      </c>
      <c r="D1127" t="s">
        <v>985</v>
      </c>
      <c r="E1127" s="11">
        <v>1</v>
      </c>
      <c r="F1127" s="11"/>
      <c r="G1127" s="11"/>
      <c r="H1127" s="11"/>
      <c r="I1127" t="s">
        <v>372</v>
      </c>
      <c r="J1127" t="s">
        <v>986</v>
      </c>
      <c r="K1127" s="6">
        <f t="shared" si="33"/>
        <v>1</v>
      </c>
    </row>
    <row r="1128" spans="1:11" x14ac:dyDescent="0.2">
      <c r="A1128" t="s">
        <v>987</v>
      </c>
      <c r="B1128">
        <v>2010</v>
      </c>
      <c r="C1128" t="s">
        <v>988</v>
      </c>
      <c r="D1128" t="s">
        <v>988</v>
      </c>
      <c r="E1128" s="5">
        <f>4694/9542817</f>
        <v>4.9188829671573922E-4</v>
      </c>
      <c r="I1128" t="s">
        <v>989</v>
      </c>
      <c r="J1128" t="s">
        <v>990</v>
      </c>
      <c r="K1128" s="6">
        <f t="shared" si="33"/>
        <v>4.9188829671573922E-4</v>
      </c>
    </row>
    <row r="1129" spans="1:11" x14ac:dyDescent="0.2">
      <c r="A1129" t="s">
        <v>987</v>
      </c>
      <c r="B1129">
        <v>2011</v>
      </c>
      <c r="C1129" t="s">
        <v>988</v>
      </c>
      <c r="D1129" t="s">
        <v>988</v>
      </c>
      <c r="E1129" s="5">
        <f>4694/9542817</f>
        <v>4.9188829671573922E-4</v>
      </c>
      <c r="I1129" t="s">
        <v>991</v>
      </c>
      <c r="J1129" t="s">
        <v>990</v>
      </c>
      <c r="K1129" s="6">
        <f t="shared" si="33"/>
        <v>4.9188829671573922E-4</v>
      </c>
    </row>
    <row r="1130" spans="1:11" x14ac:dyDescent="0.2">
      <c r="A1130" t="s">
        <v>987</v>
      </c>
      <c r="B1130">
        <v>2013</v>
      </c>
      <c r="C1130" t="s">
        <v>988</v>
      </c>
      <c r="D1130" t="s">
        <v>988</v>
      </c>
      <c r="E1130" s="5">
        <f>48986/9446185</f>
        <v>5.1857972292518092E-3</v>
      </c>
      <c r="I1130" t="s">
        <v>991</v>
      </c>
      <c r="J1130" t="s">
        <v>992</v>
      </c>
      <c r="K1130" s="6">
        <f t="shared" si="33"/>
        <v>5.1857972292518092E-3</v>
      </c>
    </row>
    <row r="1131" spans="1:11" x14ac:dyDescent="0.2">
      <c r="A1131" t="s">
        <v>987</v>
      </c>
      <c r="B1131">
        <v>2014</v>
      </c>
      <c r="C1131" t="s">
        <v>988</v>
      </c>
      <c r="D1131" t="s">
        <v>988</v>
      </c>
      <c r="E1131" s="5">
        <f>89249/10864739</f>
        <v>8.2145553611550175E-3</v>
      </c>
      <c r="I1131" t="s">
        <v>991</v>
      </c>
      <c r="J1131" t="s">
        <v>993</v>
      </c>
      <c r="K1131" s="6">
        <f t="shared" si="33"/>
        <v>8.2145553611550175E-3</v>
      </c>
    </row>
    <row r="1132" spans="1:11" x14ac:dyDescent="0.2">
      <c r="A1132" t="s">
        <v>987</v>
      </c>
      <c r="B1132">
        <v>2015</v>
      </c>
      <c r="C1132" t="s">
        <v>994</v>
      </c>
      <c r="D1132" t="s">
        <v>988</v>
      </c>
      <c r="E1132" s="5">
        <f>133398/9508344</f>
        <v>1.402957234193462E-2</v>
      </c>
      <c r="I1132" t="s">
        <v>991</v>
      </c>
      <c r="J1132" t="s">
        <v>995</v>
      </c>
      <c r="K1132" s="6">
        <f t="shared" si="33"/>
        <v>1.402957234193462E-2</v>
      </c>
    </row>
    <row r="1133" spans="1:11" x14ac:dyDescent="0.2">
      <c r="A1133" t="s">
        <v>987</v>
      </c>
      <c r="B1133">
        <v>2010</v>
      </c>
      <c r="C1133" t="s">
        <v>987</v>
      </c>
      <c r="D1133" t="s">
        <v>996</v>
      </c>
      <c r="E1133" s="5">
        <f>4694/9542817</f>
        <v>4.9188829671573922E-4</v>
      </c>
      <c r="I1133" t="s">
        <v>989</v>
      </c>
      <c r="J1133" t="s">
        <v>990</v>
      </c>
      <c r="K1133" s="6">
        <f t="shared" si="33"/>
        <v>4.9188829671573922E-4</v>
      </c>
    </row>
    <row r="1134" spans="1:11" x14ac:dyDescent="0.2">
      <c r="A1134" t="s">
        <v>987</v>
      </c>
      <c r="B1134">
        <v>2010</v>
      </c>
      <c r="C1134" t="s">
        <v>987</v>
      </c>
      <c r="D1134" t="s">
        <v>987</v>
      </c>
      <c r="E1134" s="5">
        <f>4694/9542817</f>
        <v>4.9188829671573922E-4</v>
      </c>
      <c r="I1134" t="s">
        <v>989</v>
      </c>
      <c r="J1134" t="s">
        <v>990</v>
      </c>
      <c r="K1134" s="6">
        <f t="shared" si="33"/>
        <v>4.9188829671573922E-4</v>
      </c>
    </row>
    <row r="1135" spans="1:11" x14ac:dyDescent="0.2">
      <c r="A1135" t="s">
        <v>987</v>
      </c>
      <c r="B1135">
        <v>2011</v>
      </c>
      <c r="C1135" t="s">
        <v>987</v>
      </c>
      <c r="D1135" t="s">
        <v>987</v>
      </c>
      <c r="E1135" s="5">
        <f>4694/9542817</f>
        <v>4.9188829671573922E-4</v>
      </c>
      <c r="I1135" t="s">
        <v>991</v>
      </c>
      <c r="J1135" t="s">
        <v>990</v>
      </c>
      <c r="K1135" s="6">
        <f t="shared" si="33"/>
        <v>4.9188829671573922E-4</v>
      </c>
    </row>
    <row r="1136" spans="1:11" x14ac:dyDescent="0.2">
      <c r="A1136" t="s">
        <v>987</v>
      </c>
      <c r="B1136">
        <v>2013</v>
      </c>
      <c r="C1136" t="s">
        <v>987</v>
      </c>
      <c r="D1136" t="s">
        <v>987</v>
      </c>
      <c r="E1136" s="5">
        <f>48986/9446185</f>
        <v>5.1857972292518092E-3</v>
      </c>
      <c r="I1136" t="s">
        <v>991</v>
      </c>
      <c r="J1136" t="s">
        <v>992</v>
      </c>
      <c r="K1136" s="6">
        <f t="shared" si="33"/>
        <v>5.1857972292518092E-3</v>
      </c>
    </row>
    <row r="1137" spans="1:11" x14ac:dyDescent="0.2">
      <c r="A1137" t="s">
        <v>987</v>
      </c>
      <c r="B1137">
        <v>2015</v>
      </c>
      <c r="C1137" t="s">
        <v>987</v>
      </c>
      <c r="D1137" t="s">
        <v>987</v>
      </c>
      <c r="E1137" s="5">
        <f>133398/9508344</f>
        <v>1.402957234193462E-2</v>
      </c>
      <c r="I1137" t="s">
        <v>991</v>
      </c>
      <c r="J1137" t="s">
        <v>995</v>
      </c>
      <c r="K1137" s="6">
        <f t="shared" si="33"/>
        <v>1.402957234193462E-2</v>
      </c>
    </row>
    <row r="1138" spans="1:11" x14ac:dyDescent="0.2">
      <c r="A1138" t="s">
        <v>987</v>
      </c>
      <c r="B1138">
        <v>2016</v>
      </c>
      <c r="C1138" t="s">
        <v>987</v>
      </c>
      <c r="D1138" t="s">
        <v>987</v>
      </c>
      <c r="E1138" s="5">
        <f>181494/7419600</f>
        <v>2.4461426491994176E-2</v>
      </c>
      <c r="I1138" t="s">
        <v>991</v>
      </c>
      <c r="J1138" t="s">
        <v>997</v>
      </c>
      <c r="K1138" s="6">
        <f t="shared" si="33"/>
        <v>2.4461426491994176E-2</v>
      </c>
    </row>
    <row r="1139" spans="1:11" x14ac:dyDescent="0.2">
      <c r="A1139" t="s">
        <v>987</v>
      </c>
      <c r="B1139">
        <v>2017</v>
      </c>
      <c r="C1139" t="s">
        <v>998</v>
      </c>
      <c r="D1139" t="s">
        <v>998</v>
      </c>
      <c r="E1139" s="5">
        <f>198794/79024959</f>
        <v>2.5155849811956247E-3</v>
      </c>
      <c r="I1139" t="s">
        <v>991</v>
      </c>
      <c r="J1139" t="s">
        <v>999</v>
      </c>
      <c r="K1139" s="6">
        <f t="shared" si="33"/>
        <v>2.5155849811956247E-3</v>
      </c>
    </row>
    <row r="1140" spans="1:11" x14ac:dyDescent="0.2">
      <c r="A1140" t="s">
        <v>987</v>
      </c>
      <c r="B1140">
        <v>2018</v>
      </c>
      <c r="C1140" t="s">
        <v>998</v>
      </c>
      <c r="D1140" t="s">
        <v>998</v>
      </c>
      <c r="E1140" s="7">
        <f>(8773244*(224951/9881020))/78248265</f>
        <v>2.5525346199744875E-3</v>
      </c>
      <c r="F1140" s="7"/>
      <c r="G1140" s="7"/>
      <c r="H1140" s="7"/>
      <c r="I1140" t="s">
        <v>1000</v>
      </c>
      <c r="J1140" t="s">
        <v>1001</v>
      </c>
      <c r="K1140" s="6">
        <f t="shared" si="33"/>
        <v>2.5525346199744875E-3</v>
      </c>
    </row>
    <row r="1141" spans="1:11" x14ac:dyDescent="0.2">
      <c r="A1141" t="s">
        <v>987</v>
      </c>
      <c r="B1141">
        <v>2018</v>
      </c>
      <c r="C1141" s="8" t="s">
        <v>987</v>
      </c>
      <c r="D1141" t="s">
        <v>998</v>
      </c>
      <c r="E1141" s="7">
        <f>(8773244*(224951/9881020))/78248265</f>
        <v>2.5525346199744875E-3</v>
      </c>
      <c r="F1141" s="7"/>
      <c r="G1141" s="7"/>
      <c r="H1141" s="7"/>
      <c r="I1141" t="s">
        <v>1000</v>
      </c>
      <c r="J1141" t="s">
        <v>1001</v>
      </c>
      <c r="K1141" s="6">
        <f t="shared" si="33"/>
        <v>2.5525346199744875E-3</v>
      </c>
    </row>
    <row r="1142" spans="1:11" x14ac:dyDescent="0.2">
      <c r="A1142" s="9" t="s">
        <v>987</v>
      </c>
      <c r="B1142" s="9">
        <v>2019</v>
      </c>
      <c r="C1142" s="9" t="s">
        <v>998</v>
      </c>
      <c r="D1142" s="9" t="s">
        <v>998</v>
      </c>
      <c r="E1142" s="10">
        <f>(8773244*(224951/9881020))/78248265</f>
        <v>2.5525346199744875E-3</v>
      </c>
      <c r="F1142" s="10"/>
      <c r="G1142" s="10"/>
      <c r="H1142" s="10"/>
      <c r="I1142" s="9" t="s">
        <v>1000</v>
      </c>
      <c r="J1142" s="9" t="s">
        <v>1001</v>
      </c>
      <c r="K1142" s="6">
        <f t="shared" si="33"/>
        <v>2.5525346199744875E-3</v>
      </c>
    </row>
    <row r="1143" spans="1:11" x14ac:dyDescent="0.2">
      <c r="A1143" t="s">
        <v>987</v>
      </c>
      <c r="B1143">
        <v>2017</v>
      </c>
      <c r="C1143" t="s">
        <v>987</v>
      </c>
      <c r="D1143" t="s">
        <v>1002</v>
      </c>
      <c r="E1143" s="7">
        <f>198794/79024959</f>
        <v>2.5155849811956247E-3</v>
      </c>
      <c r="F1143" s="7"/>
      <c r="G1143" s="7"/>
      <c r="H1143" s="7"/>
      <c r="I1143" t="s">
        <v>991</v>
      </c>
      <c r="J1143" t="s">
        <v>999</v>
      </c>
      <c r="K1143" s="6">
        <f t="shared" si="33"/>
        <v>2.5155849811956247E-3</v>
      </c>
    </row>
    <row r="1144" spans="1:11" x14ac:dyDescent="0.2">
      <c r="A1144" t="s">
        <v>987</v>
      </c>
      <c r="B1144">
        <v>2015</v>
      </c>
      <c r="C1144" t="s">
        <v>1003</v>
      </c>
      <c r="D1144" t="s">
        <v>1003</v>
      </c>
      <c r="E1144" s="7">
        <f>133398/9508344</f>
        <v>1.402957234193462E-2</v>
      </c>
      <c r="F1144" s="7"/>
      <c r="G1144" s="7"/>
      <c r="H1144" s="7"/>
      <c r="I1144" t="s">
        <v>991</v>
      </c>
      <c r="J1144" t="s">
        <v>995</v>
      </c>
      <c r="K1144" s="6">
        <f t="shared" si="33"/>
        <v>1.402957234193462E-2</v>
      </c>
    </row>
    <row r="1145" spans="1:11" x14ac:dyDescent="0.2">
      <c r="A1145" t="s">
        <v>987</v>
      </c>
      <c r="B1145">
        <v>2016</v>
      </c>
      <c r="C1145" t="s">
        <v>1003</v>
      </c>
      <c r="D1145" t="s">
        <v>1003</v>
      </c>
      <c r="E1145" s="7">
        <f>181494/7419600</f>
        <v>2.4461426491994176E-2</v>
      </c>
      <c r="F1145" s="7"/>
      <c r="G1145" s="7"/>
      <c r="H1145" s="7"/>
      <c r="I1145" t="s">
        <v>991</v>
      </c>
      <c r="J1145" t="s">
        <v>997</v>
      </c>
      <c r="K1145" s="6">
        <f t="shared" si="33"/>
        <v>2.4461426491994176E-2</v>
      </c>
    </row>
    <row r="1146" spans="1:11" x14ac:dyDescent="0.2">
      <c r="A1146" t="s">
        <v>987</v>
      </c>
      <c r="B1146">
        <v>2017</v>
      </c>
      <c r="C1146" t="s">
        <v>1003</v>
      </c>
      <c r="D1146" t="s">
        <v>1003</v>
      </c>
      <c r="E1146" s="7">
        <f>198794/79024959</f>
        <v>2.5155849811956247E-3</v>
      </c>
      <c r="F1146" s="7"/>
      <c r="G1146" s="7"/>
      <c r="H1146" s="7"/>
      <c r="I1146" t="s">
        <v>991</v>
      </c>
      <c r="J1146" t="s">
        <v>999</v>
      </c>
      <c r="K1146" s="6">
        <f t="shared" si="33"/>
        <v>2.5155849811956247E-3</v>
      </c>
    </row>
    <row r="1147" spans="1:11" x14ac:dyDescent="0.2">
      <c r="A1147" t="s">
        <v>987</v>
      </c>
      <c r="B1147">
        <v>2018</v>
      </c>
      <c r="C1147" t="s">
        <v>1003</v>
      </c>
      <c r="D1147" t="s">
        <v>1003</v>
      </c>
      <c r="E1147" s="7">
        <f>(8773244*(224951/9881020))/78248265</f>
        <v>2.5525346199744875E-3</v>
      </c>
      <c r="F1147" s="7"/>
      <c r="G1147" s="7"/>
      <c r="H1147" s="7"/>
      <c r="I1147" t="s">
        <v>1000</v>
      </c>
      <c r="J1147" t="s">
        <v>1001</v>
      </c>
      <c r="K1147" s="6">
        <f t="shared" si="33"/>
        <v>2.5525346199744875E-3</v>
      </c>
    </row>
    <row r="1148" spans="1:11" x14ac:dyDescent="0.2">
      <c r="A1148" t="s">
        <v>987</v>
      </c>
      <c r="B1148">
        <v>2018</v>
      </c>
      <c r="C1148" s="8" t="s">
        <v>987</v>
      </c>
      <c r="D1148" t="s">
        <v>1003</v>
      </c>
      <c r="E1148" s="7">
        <f>(8773244*(224951/9881020))/78248265</f>
        <v>2.5525346199744875E-3</v>
      </c>
      <c r="F1148" s="7"/>
      <c r="G1148" s="7"/>
      <c r="H1148" s="7"/>
      <c r="I1148" t="s">
        <v>1000</v>
      </c>
      <c r="J1148" t="s">
        <v>1001</v>
      </c>
      <c r="K1148" s="6">
        <f t="shared" si="33"/>
        <v>2.5525346199744875E-3</v>
      </c>
    </row>
    <row r="1149" spans="1:11" x14ac:dyDescent="0.2">
      <c r="A1149" t="s">
        <v>987</v>
      </c>
      <c r="B1149">
        <v>2018</v>
      </c>
      <c r="C1149" t="s">
        <v>1004</v>
      </c>
      <c r="D1149" t="s">
        <v>1004</v>
      </c>
      <c r="E1149" s="7">
        <f>(8773244*(224951/9881020))/78248265</f>
        <v>2.5525346199744875E-3</v>
      </c>
      <c r="F1149" s="7"/>
      <c r="G1149" s="7"/>
      <c r="H1149" s="7"/>
      <c r="I1149" t="s">
        <v>1000</v>
      </c>
      <c r="J1149" t="s">
        <v>1001</v>
      </c>
      <c r="K1149" s="6">
        <f t="shared" si="33"/>
        <v>2.5525346199744875E-3</v>
      </c>
    </row>
    <row r="1150" spans="1:11" x14ac:dyDescent="0.2">
      <c r="A1150" s="9" t="s">
        <v>987</v>
      </c>
      <c r="B1150" s="9">
        <v>2019</v>
      </c>
      <c r="C1150" s="9" t="s">
        <v>1004</v>
      </c>
      <c r="D1150" s="9" t="s">
        <v>1004</v>
      </c>
      <c r="E1150" s="10">
        <f>(8773244*(224951/9881020))/78248265</f>
        <v>2.5525346199744875E-3</v>
      </c>
      <c r="F1150" s="10"/>
      <c r="G1150" s="10"/>
      <c r="H1150" s="10"/>
      <c r="I1150" s="9" t="s">
        <v>1000</v>
      </c>
      <c r="J1150" s="9" t="s">
        <v>1001</v>
      </c>
      <c r="K1150" s="6">
        <f t="shared" si="33"/>
        <v>2.5525346199744875E-3</v>
      </c>
    </row>
    <row r="1151" spans="1:11" x14ac:dyDescent="0.2">
      <c r="A1151" t="s">
        <v>987</v>
      </c>
      <c r="B1151">
        <v>2010</v>
      </c>
      <c r="C1151" t="s">
        <v>994</v>
      </c>
      <c r="D1151" t="s">
        <v>994</v>
      </c>
      <c r="E1151" s="7">
        <f>4694/9542817</f>
        <v>4.9188829671573922E-4</v>
      </c>
      <c r="F1151" s="7"/>
      <c r="G1151" s="7"/>
      <c r="H1151" s="7"/>
      <c r="I1151" t="s">
        <v>989</v>
      </c>
      <c r="J1151" t="s">
        <v>990</v>
      </c>
      <c r="K1151" s="6">
        <f t="shared" si="33"/>
        <v>4.9188829671573922E-4</v>
      </c>
    </row>
    <row r="1152" spans="1:11" x14ac:dyDescent="0.2">
      <c r="A1152" t="s">
        <v>987</v>
      </c>
      <c r="B1152">
        <v>2011</v>
      </c>
      <c r="C1152" t="s">
        <v>994</v>
      </c>
      <c r="D1152" t="s">
        <v>994</v>
      </c>
      <c r="E1152" s="7">
        <f>4694/9542817</f>
        <v>4.9188829671573922E-4</v>
      </c>
      <c r="F1152" s="7"/>
      <c r="G1152" s="7"/>
      <c r="H1152" s="7"/>
      <c r="I1152" t="s">
        <v>991</v>
      </c>
      <c r="J1152" t="s">
        <v>990</v>
      </c>
      <c r="K1152" s="6">
        <f t="shared" si="33"/>
        <v>4.9188829671573922E-4</v>
      </c>
    </row>
    <row r="1153" spans="1:11" x14ac:dyDescent="0.2">
      <c r="A1153" t="s">
        <v>987</v>
      </c>
      <c r="B1153">
        <v>2012</v>
      </c>
      <c r="C1153" t="s">
        <v>994</v>
      </c>
      <c r="D1153" t="s">
        <v>994</v>
      </c>
      <c r="E1153" s="7">
        <f>35514/8532265</f>
        <v>4.1623179776999423E-3</v>
      </c>
      <c r="F1153" s="7"/>
      <c r="G1153" s="7"/>
      <c r="H1153" s="7"/>
      <c r="I1153" t="s">
        <v>991</v>
      </c>
      <c r="J1153" t="s">
        <v>1005</v>
      </c>
      <c r="K1153" s="6">
        <f t="shared" si="33"/>
        <v>4.1623179776999423E-3</v>
      </c>
    </row>
    <row r="1154" spans="1:11" x14ac:dyDescent="0.2">
      <c r="A1154" t="s">
        <v>987</v>
      </c>
      <c r="B1154">
        <v>2013</v>
      </c>
      <c r="C1154" t="s">
        <v>994</v>
      </c>
      <c r="D1154" t="s">
        <v>994</v>
      </c>
      <c r="E1154" s="7">
        <f>48986/9446185</f>
        <v>5.1857972292518092E-3</v>
      </c>
      <c r="F1154" s="7"/>
      <c r="G1154" s="7"/>
      <c r="H1154" s="7"/>
      <c r="I1154" t="s">
        <v>991</v>
      </c>
      <c r="J1154" t="s">
        <v>992</v>
      </c>
      <c r="K1154" s="6">
        <f t="shared" ref="K1154:K1217" si="34">SUM(E1154:H1154)</f>
        <v>5.1857972292518092E-3</v>
      </c>
    </row>
    <row r="1155" spans="1:11" x14ac:dyDescent="0.2">
      <c r="A1155" t="s">
        <v>987</v>
      </c>
      <c r="B1155">
        <v>2014</v>
      </c>
      <c r="C1155" t="s">
        <v>994</v>
      </c>
      <c r="D1155" t="s">
        <v>994</v>
      </c>
      <c r="E1155" s="7">
        <f>89249/10864739</f>
        <v>8.2145553611550175E-3</v>
      </c>
      <c r="F1155" s="7"/>
      <c r="G1155" s="7"/>
      <c r="H1155" s="7"/>
      <c r="I1155" t="s">
        <v>991</v>
      </c>
      <c r="J1155" t="s">
        <v>993</v>
      </c>
      <c r="K1155" s="6">
        <f t="shared" si="34"/>
        <v>8.2145553611550175E-3</v>
      </c>
    </row>
    <row r="1156" spans="1:11" x14ac:dyDescent="0.2">
      <c r="A1156" t="s">
        <v>987</v>
      </c>
      <c r="B1156">
        <v>2015</v>
      </c>
      <c r="C1156" t="s">
        <v>994</v>
      </c>
      <c r="D1156" t="s">
        <v>994</v>
      </c>
      <c r="E1156" s="7">
        <f>133398/9508344</f>
        <v>1.402957234193462E-2</v>
      </c>
      <c r="F1156" s="7"/>
      <c r="G1156" s="7"/>
      <c r="H1156" s="7"/>
      <c r="I1156" t="s">
        <v>991</v>
      </c>
      <c r="J1156" t="s">
        <v>995</v>
      </c>
      <c r="K1156" s="6">
        <f t="shared" si="34"/>
        <v>1.402957234193462E-2</v>
      </c>
    </row>
    <row r="1157" spans="1:11" x14ac:dyDescent="0.2">
      <c r="A1157" t="s">
        <v>987</v>
      </c>
      <c r="B1157">
        <v>2016</v>
      </c>
      <c r="C1157" t="s">
        <v>994</v>
      </c>
      <c r="D1157" t="s">
        <v>994</v>
      </c>
      <c r="E1157" s="7">
        <f>181494/7419600</f>
        <v>2.4461426491994176E-2</v>
      </c>
      <c r="F1157" s="7"/>
      <c r="G1157" s="7"/>
      <c r="H1157" s="7"/>
      <c r="I1157" t="s">
        <v>991</v>
      </c>
      <c r="J1157" t="s">
        <v>997</v>
      </c>
      <c r="K1157" s="6">
        <f t="shared" si="34"/>
        <v>2.4461426491994176E-2</v>
      </c>
    </row>
    <row r="1158" spans="1:11" x14ac:dyDescent="0.2">
      <c r="A1158" s="8" t="s">
        <v>987</v>
      </c>
      <c r="B1158">
        <v>2018</v>
      </c>
      <c r="C1158" s="8" t="s">
        <v>987</v>
      </c>
      <c r="D1158" t="s">
        <v>994</v>
      </c>
      <c r="E1158" s="7">
        <f>(8773244*(224951/9881020))/78248265</f>
        <v>2.5525346199744875E-3</v>
      </c>
      <c r="F1158" s="7"/>
      <c r="G1158" s="7"/>
      <c r="H1158" s="7"/>
      <c r="I1158" t="s">
        <v>1000</v>
      </c>
      <c r="J1158" t="s">
        <v>1001</v>
      </c>
      <c r="K1158" s="6">
        <f t="shared" si="34"/>
        <v>2.5525346199744875E-3</v>
      </c>
    </row>
    <row r="1159" spans="1:11" x14ac:dyDescent="0.2">
      <c r="A1159" t="s">
        <v>987</v>
      </c>
      <c r="B1159">
        <v>2018</v>
      </c>
      <c r="C1159" s="8" t="s">
        <v>987</v>
      </c>
      <c r="D1159" t="s">
        <v>994</v>
      </c>
      <c r="E1159" s="7">
        <f>(8773244*(224951/9881020))/78248265</f>
        <v>2.5525346199744875E-3</v>
      </c>
      <c r="F1159" s="7"/>
      <c r="G1159" s="7"/>
      <c r="H1159" s="7"/>
      <c r="I1159" t="s">
        <v>1000</v>
      </c>
      <c r="J1159" t="s">
        <v>1001</v>
      </c>
      <c r="K1159" s="6">
        <f t="shared" si="34"/>
        <v>2.5525346199744875E-3</v>
      </c>
    </row>
    <row r="1160" spans="1:11" x14ac:dyDescent="0.2">
      <c r="A1160" t="s">
        <v>987</v>
      </c>
      <c r="B1160">
        <v>2018</v>
      </c>
      <c r="C1160" t="s">
        <v>994</v>
      </c>
      <c r="D1160" t="s">
        <v>994</v>
      </c>
      <c r="E1160" s="7">
        <f>(8773244*(224951/9881020))/78248265</f>
        <v>2.5525346199744875E-3</v>
      </c>
      <c r="F1160" s="7"/>
      <c r="G1160" s="7"/>
      <c r="H1160" s="7"/>
      <c r="I1160" t="s">
        <v>1000</v>
      </c>
      <c r="J1160" t="s">
        <v>1001</v>
      </c>
      <c r="K1160" s="6">
        <f t="shared" si="34"/>
        <v>2.5525346199744875E-3</v>
      </c>
    </row>
    <row r="1161" spans="1:11" x14ac:dyDescent="0.2">
      <c r="A1161" s="9" t="s">
        <v>987</v>
      </c>
      <c r="B1161" s="9">
        <v>2019</v>
      </c>
      <c r="C1161" s="9" t="s">
        <v>994</v>
      </c>
      <c r="D1161" s="9" t="s">
        <v>994</v>
      </c>
      <c r="E1161" s="10">
        <f>(8773244*(224951/9881020))/78248265</f>
        <v>2.5525346199744875E-3</v>
      </c>
      <c r="F1161" s="10"/>
      <c r="G1161" s="10"/>
      <c r="H1161" s="10"/>
      <c r="I1161" s="9" t="s">
        <v>1000</v>
      </c>
      <c r="J1161" s="9" t="s">
        <v>1001</v>
      </c>
      <c r="K1161" s="6">
        <f t="shared" si="34"/>
        <v>2.5525346199744875E-3</v>
      </c>
    </row>
    <row r="1162" spans="1:11" x14ac:dyDescent="0.2">
      <c r="A1162" t="s">
        <v>987</v>
      </c>
      <c r="B1162">
        <v>2016</v>
      </c>
      <c r="C1162" t="s">
        <v>1006</v>
      </c>
      <c r="D1162" t="s">
        <v>1006</v>
      </c>
      <c r="E1162" s="7">
        <f>181494/7419600</f>
        <v>2.4461426491994176E-2</v>
      </c>
      <c r="F1162" s="7"/>
      <c r="G1162" s="7"/>
      <c r="H1162" s="7"/>
      <c r="I1162" t="s">
        <v>991</v>
      </c>
      <c r="J1162" t="s">
        <v>997</v>
      </c>
      <c r="K1162" s="6">
        <f t="shared" si="34"/>
        <v>2.4461426491994176E-2</v>
      </c>
    </row>
    <row r="1163" spans="1:11" x14ac:dyDescent="0.2">
      <c r="A1163" t="s">
        <v>987</v>
      </c>
      <c r="B1163">
        <v>2017</v>
      </c>
      <c r="C1163" t="s">
        <v>994</v>
      </c>
      <c r="D1163" t="s">
        <v>1006</v>
      </c>
      <c r="E1163" s="7">
        <f>198794/79024959</f>
        <v>2.5155849811956247E-3</v>
      </c>
      <c r="F1163" s="7"/>
      <c r="G1163" s="7"/>
      <c r="H1163" s="7"/>
      <c r="I1163" t="s">
        <v>991</v>
      </c>
      <c r="J1163" t="s">
        <v>999</v>
      </c>
      <c r="K1163" s="6">
        <f t="shared" si="34"/>
        <v>2.5155849811956247E-3</v>
      </c>
    </row>
    <row r="1164" spans="1:11" x14ac:dyDescent="0.2">
      <c r="A1164" t="s">
        <v>987</v>
      </c>
      <c r="B1164">
        <v>2017</v>
      </c>
      <c r="C1164" t="s">
        <v>1006</v>
      </c>
      <c r="D1164" t="s">
        <v>1006</v>
      </c>
      <c r="E1164" s="7">
        <f>198794/79024959</f>
        <v>2.5155849811956247E-3</v>
      </c>
      <c r="F1164" s="7"/>
      <c r="G1164" s="7"/>
      <c r="H1164" s="7"/>
      <c r="I1164" t="s">
        <v>991</v>
      </c>
      <c r="J1164" t="s">
        <v>999</v>
      </c>
      <c r="K1164" s="6">
        <f t="shared" si="34"/>
        <v>2.5155849811956247E-3</v>
      </c>
    </row>
    <row r="1165" spans="1:11" x14ac:dyDescent="0.2">
      <c r="A1165" t="s">
        <v>987</v>
      </c>
      <c r="B1165">
        <v>2018</v>
      </c>
      <c r="C1165" t="s">
        <v>1006</v>
      </c>
      <c r="D1165" t="s">
        <v>1006</v>
      </c>
      <c r="E1165" s="7">
        <f t="shared" ref="E1165:E1173" si="35">224951/9881020</f>
        <v>2.2765969505172543E-2</v>
      </c>
      <c r="F1165" s="7"/>
      <c r="G1165" s="7"/>
      <c r="H1165" s="7"/>
      <c r="I1165" t="s">
        <v>991</v>
      </c>
      <c r="J1165" t="s">
        <v>1007</v>
      </c>
      <c r="K1165" s="6">
        <f t="shared" si="34"/>
        <v>2.2765969505172543E-2</v>
      </c>
    </row>
    <row r="1166" spans="1:11" x14ac:dyDescent="0.2">
      <c r="A1166" t="s">
        <v>987</v>
      </c>
      <c r="B1166">
        <v>2018</v>
      </c>
      <c r="C1166" s="8" t="s">
        <v>987</v>
      </c>
      <c r="D1166" t="s">
        <v>1006</v>
      </c>
      <c r="E1166" s="7">
        <f t="shared" si="35"/>
        <v>2.2765969505172543E-2</v>
      </c>
      <c r="F1166" s="7"/>
      <c r="G1166" s="7"/>
      <c r="H1166" s="7"/>
      <c r="I1166" t="s">
        <v>991</v>
      </c>
      <c r="J1166" t="s">
        <v>1007</v>
      </c>
      <c r="K1166" s="6">
        <f t="shared" si="34"/>
        <v>2.2765969505172543E-2</v>
      </c>
    </row>
    <row r="1167" spans="1:11" x14ac:dyDescent="0.2">
      <c r="A1167" t="s">
        <v>987</v>
      </c>
      <c r="B1167">
        <v>2018</v>
      </c>
      <c r="C1167" t="s">
        <v>1008</v>
      </c>
      <c r="D1167" t="s">
        <v>1008</v>
      </c>
      <c r="E1167" s="7">
        <f t="shared" si="35"/>
        <v>2.2765969505172543E-2</v>
      </c>
      <c r="F1167" s="7"/>
      <c r="G1167" s="7"/>
      <c r="H1167" s="7"/>
      <c r="I1167" t="s">
        <v>991</v>
      </c>
      <c r="J1167" t="s">
        <v>1007</v>
      </c>
      <c r="K1167" s="6">
        <f t="shared" si="34"/>
        <v>2.2765969505172543E-2</v>
      </c>
    </row>
    <row r="1168" spans="1:11" x14ac:dyDescent="0.2">
      <c r="A1168" s="9" t="s">
        <v>987</v>
      </c>
      <c r="B1168" s="9">
        <v>2019</v>
      </c>
      <c r="C1168" s="9" t="s">
        <v>1006</v>
      </c>
      <c r="D1168" s="9" t="s">
        <v>1006</v>
      </c>
      <c r="E1168" s="10">
        <f t="shared" si="35"/>
        <v>2.2765969505172543E-2</v>
      </c>
      <c r="F1168" s="10"/>
      <c r="G1168" s="10"/>
      <c r="H1168" s="10"/>
      <c r="I1168" s="9" t="s">
        <v>991</v>
      </c>
      <c r="J1168" s="9" t="s">
        <v>1007</v>
      </c>
      <c r="K1168" s="6">
        <f t="shared" si="34"/>
        <v>2.2765969505172543E-2</v>
      </c>
    </row>
    <row r="1169" spans="1:11" x14ac:dyDescent="0.2">
      <c r="A1169" t="s">
        <v>987</v>
      </c>
      <c r="B1169">
        <v>2017</v>
      </c>
      <c r="C1169" t="s">
        <v>1009</v>
      </c>
      <c r="D1169" t="s">
        <v>1009</v>
      </c>
      <c r="E1169" s="7">
        <f t="shared" si="35"/>
        <v>2.2765969505172543E-2</v>
      </c>
      <c r="F1169" s="7"/>
      <c r="G1169" s="7"/>
      <c r="H1169" s="7"/>
      <c r="I1169" t="s">
        <v>991</v>
      </c>
      <c r="J1169" t="s">
        <v>1007</v>
      </c>
      <c r="K1169" s="6">
        <f t="shared" si="34"/>
        <v>2.2765969505172543E-2</v>
      </c>
    </row>
    <row r="1170" spans="1:11" x14ac:dyDescent="0.2">
      <c r="A1170" t="s">
        <v>987</v>
      </c>
      <c r="B1170">
        <v>2018</v>
      </c>
      <c r="C1170" t="s">
        <v>1009</v>
      </c>
      <c r="D1170" t="s">
        <v>1009</v>
      </c>
      <c r="E1170" s="7">
        <f t="shared" si="35"/>
        <v>2.2765969505172543E-2</v>
      </c>
      <c r="F1170" s="7"/>
      <c r="G1170" s="7"/>
      <c r="H1170" s="7"/>
      <c r="I1170" t="s">
        <v>991</v>
      </c>
      <c r="J1170" t="s">
        <v>1007</v>
      </c>
      <c r="K1170" s="6">
        <f t="shared" si="34"/>
        <v>2.2765969505172543E-2</v>
      </c>
    </row>
    <row r="1171" spans="1:11" x14ac:dyDescent="0.2">
      <c r="A1171" t="s">
        <v>987</v>
      </c>
      <c r="B1171">
        <v>2018</v>
      </c>
      <c r="C1171" t="s">
        <v>1009</v>
      </c>
      <c r="D1171" t="s">
        <v>1009</v>
      </c>
      <c r="E1171" s="7">
        <f t="shared" si="35"/>
        <v>2.2765969505172543E-2</v>
      </c>
      <c r="F1171" s="7"/>
      <c r="G1171" s="7"/>
      <c r="H1171" s="7"/>
      <c r="I1171" t="s">
        <v>991</v>
      </c>
      <c r="J1171" t="s">
        <v>1007</v>
      </c>
      <c r="K1171" s="6">
        <f t="shared" si="34"/>
        <v>2.2765969505172543E-2</v>
      </c>
    </row>
    <row r="1172" spans="1:11" x14ac:dyDescent="0.2">
      <c r="A1172" s="9" t="s">
        <v>987</v>
      </c>
      <c r="B1172" s="9">
        <v>2019</v>
      </c>
      <c r="C1172" s="9" t="s">
        <v>1009</v>
      </c>
      <c r="D1172" s="9" t="s">
        <v>1009</v>
      </c>
      <c r="E1172" s="10">
        <f t="shared" si="35"/>
        <v>2.2765969505172543E-2</v>
      </c>
      <c r="F1172" s="10"/>
      <c r="G1172" s="10"/>
      <c r="H1172" s="10"/>
      <c r="I1172" s="9" t="s">
        <v>991</v>
      </c>
      <c r="J1172" s="9" t="s">
        <v>1007</v>
      </c>
      <c r="K1172" s="6">
        <f t="shared" si="34"/>
        <v>2.2765969505172543E-2</v>
      </c>
    </row>
    <row r="1173" spans="1:11" x14ac:dyDescent="0.2">
      <c r="A1173" s="9" t="s">
        <v>987</v>
      </c>
      <c r="B1173" s="9">
        <v>2019</v>
      </c>
      <c r="C1173" s="9" t="s">
        <v>1009</v>
      </c>
      <c r="D1173" s="9" t="s">
        <v>1009</v>
      </c>
      <c r="E1173" s="10">
        <f t="shared" si="35"/>
        <v>2.2765969505172543E-2</v>
      </c>
      <c r="F1173" s="10"/>
      <c r="G1173" s="10"/>
      <c r="H1173" s="10"/>
      <c r="I1173" s="9" t="s">
        <v>991</v>
      </c>
      <c r="J1173" s="9" t="s">
        <v>1007</v>
      </c>
      <c r="K1173" s="6">
        <f t="shared" si="34"/>
        <v>2.2765969505172543E-2</v>
      </c>
    </row>
    <row r="1174" spans="1:11" x14ac:dyDescent="0.2">
      <c r="A1174" t="s">
        <v>987</v>
      </c>
      <c r="B1174">
        <v>2010</v>
      </c>
      <c r="C1174" t="s">
        <v>987</v>
      </c>
      <c r="D1174" t="s">
        <v>1010</v>
      </c>
      <c r="E1174" s="5">
        <f>4694/9542817</f>
        <v>4.9188829671573922E-4</v>
      </c>
      <c r="I1174" t="s">
        <v>989</v>
      </c>
      <c r="J1174" t="s">
        <v>990</v>
      </c>
      <c r="K1174" s="6">
        <f t="shared" si="34"/>
        <v>4.9188829671573922E-4</v>
      </c>
    </row>
    <row r="1175" spans="1:11" x14ac:dyDescent="0.2">
      <c r="A1175" t="s">
        <v>987</v>
      </c>
      <c r="B1175">
        <v>2014</v>
      </c>
      <c r="C1175" t="s">
        <v>1011</v>
      </c>
      <c r="D1175" t="s">
        <v>1011</v>
      </c>
      <c r="E1175" s="5">
        <f>89249/10864739</f>
        <v>8.2145553611550175E-3</v>
      </c>
      <c r="I1175" t="s">
        <v>1012</v>
      </c>
      <c r="J1175" t="s">
        <v>993</v>
      </c>
      <c r="K1175" s="6">
        <f t="shared" si="34"/>
        <v>8.2145553611550175E-3</v>
      </c>
    </row>
    <row r="1176" spans="1:11" x14ac:dyDescent="0.2">
      <c r="A1176" t="s">
        <v>987</v>
      </c>
      <c r="B1176">
        <v>2011</v>
      </c>
      <c r="C1176" t="s">
        <v>994</v>
      </c>
      <c r="D1176" t="s">
        <v>1013</v>
      </c>
      <c r="E1176" s="5">
        <f>4694/9542817</f>
        <v>4.9188829671573922E-4</v>
      </c>
      <c r="I1176" t="s">
        <v>1014</v>
      </c>
      <c r="J1176" t="s">
        <v>990</v>
      </c>
      <c r="K1176" s="6">
        <f t="shared" si="34"/>
        <v>4.9188829671573922E-4</v>
      </c>
    </row>
    <row r="1177" spans="1:11" x14ac:dyDescent="0.2">
      <c r="A1177" t="s">
        <v>1015</v>
      </c>
      <c r="B1177">
        <v>2016</v>
      </c>
      <c r="C1177" t="s">
        <v>1016</v>
      </c>
      <c r="D1177" t="s">
        <v>1017</v>
      </c>
      <c r="H1177" s="5">
        <f>(11003827+242934)/12491425</f>
        <v>0.90035852594880084</v>
      </c>
      <c r="I1177" t="s">
        <v>1018</v>
      </c>
      <c r="J1177" t="s">
        <v>1019</v>
      </c>
      <c r="K1177" s="6">
        <f t="shared" si="34"/>
        <v>0.90035852594880084</v>
      </c>
    </row>
    <row r="1178" spans="1:11" x14ac:dyDescent="0.2">
      <c r="A1178" t="s">
        <v>1015</v>
      </c>
      <c r="B1178">
        <v>2017</v>
      </c>
      <c r="C1178" t="s">
        <v>1016</v>
      </c>
      <c r="D1178" t="s">
        <v>1017</v>
      </c>
      <c r="H1178" s="5">
        <f>(30721828+3939950)/(30721828+3939950+305)</f>
        <v>0.99999120075963122</v>
      </c>
      <c r="I1178" t="s">
        <v>1018</v>
      </c>
      <c r="J1178" t="s">
        <v>1020</v>
      </c>
      <c r="K1178" s="6">
        <f t="shared" si="34"/>
        <v>0.99999120075963122</v>
      </c>
    </row>
    <row r="1179" spans="1:11" x14ac:dyDescent="0.2">
      <c r="A1179" t="s">
        <v>1015</v>
      </c>
      <c r="B1179">
        <v>2018</v>
      </c>
      <c r="C1179" t="s">
        <v>1016</v>
      </c>
      <c r="D1179" t="s">
        <v>1017</v>
      </c>
      <c r="H1179" s="5">
        <f>(34556752+8510104)/43235256</f>
        <v>0.99610503057967326</v>
      </c>
      <c r="I1179" t="s">
        <v>1018</v>
      </c>
      <c r="J1179" t="s">
        <v>1020</v>
      </c>
      <c r="K1179" s="6">
        <f t="shared" si="34"/>
        <v>0.99610503057967326</v>
      </c>
    </row>
    <row r="1180" spans="1:11" x14ac:dyDescent="0.2">
      <c r="A1180" t="s">
        <v>1015</v>
      </c>
      <c r="B1180">
        <v>2018</v>
      </c>
      <c r="C1180" t="s">
        <v>1016</v>
      </c>
      <c r="D1180" t="s">
        <v>1017</v>
      </c>
      <c r="H1180" s="5">
        <f>(34556752+8510104)/43235256</f>
        <v>0.99610503057967326</v>
      </c>
      <c r="I1180" t="s">
        <v>1018</v>
      </c>
      <c r="J1180" t="s">
        <v>1020</v>
      </c>
      <c r="K1180" s="6">
        <f t="shared" si="34"/>
        <v>0.99610503057967326</v>
      </c>
    </row>
    <row r="1181" spans="1:11" x14ac:dyDescent="0.2">
      <c r="A1181" t="s">
        <v>1021</v>
      </c>
      <c r="B1181">
        <v>2015</v>
      </c>
      <c r="C1181" t="s">
        <v>1021</v>
      </c>
      <c r="D1181" t="s">
        <v>1022</v>
      </c>
      <c r="E1181" s="5">
        <v>1</v>
      </c>
      <c r="I1181" t="s">
        <v>1023</v>
      </c>
      <c r="J1181" t="s">
        <v>1024</v>
      </c>
      <c r="K1181" s="6">
        <f t="shared" si="34"/>
        <v>1</v>
      </c>
    </row>
    <row r="1182" spans="1:11" x14ac:dyDescent="0.2">
      <c r="A1182" t="s">
        <v>1021</v>
      </c>
      <c r="B1182">
        <v>2015</v>
      </c>
      <c r="C1182" t="s">
        <v>1021</v>
      </c>
      <c r="D1182" t="s">
        <v>1022</v>
      </c>
      <c r="E1182" s="5">
        <v>1</v>
      </c>
      <c r="I1182" t="s">
        <v>1023</v>
      </c>
      <c r="K1182" s="6">
        <f t="shared" si="34"/>
        <v>1</v>
      </c>
    </row>
    <row r="1183" spans="1:11" x14ac:dyDescent="0.2">
      <c r="A1183" t="s">
        <v>1021</v>
      </c>
      <c r="B1183">
        <v>2011</v>
      </c>
      <c r="C1183" t="s">
        <v>1021</v>
      </c>
      <c r="D1183" t="s">
        <v>1025</v>
      </c>
      <c r="E1183" s="5">
        <v>1</v>
      </c>
      <c r="I1183" t="s">
        <v>1023</v>
      </c>
      <c r="J1183" t="s">
        <v>1024</v>
      </c>
      <c r="K1183" s="6">
        <f t="shared" si="34"/>
        <v>1</v>
      </c>
    </row>
    <row r="1184" spans="1:11" x14ac:dyDescent="0.2">
      <c r="A1184" t="s">
        <v>1021</v>
      </c>
      <c r="B1184">
        <v>2011</v>
      </c>
      <c r="C1184" t="s">
        <v>1021</v>
      </c>
      <c r="D1184" t="s">
        <v>1025</v>
      </c>
      <c r="E1184" s="5">
        <v>1</v>
      </c>
      <c r="I1184" t="s">
        <v>1023</v>
      </c>
      <c r="K1184" s="6">
        <f t="shared" si="34"/>
        <v>1</v>
      </c>
    </row>
    <row r="1185" spans="1:11" x14ac:dyDescent="0.2">
      <c r="A1185" t="s">
        <v>1021</v>
      </c>
      <c r="B1185">
        <v>2015</v>
      </c>
      <c r="C1185" t="s">
        <v>1021</v>
      </c>
      <c r="D1185" t="s">
        <v>1025</v>
      </c>
      <c r="E1185" s="5">
        <v>1</v>
      </c>
      <c r="I1185" t="s">
        <v>1023</v>
      </c>
      <c r="J1185" t="s">
        <v>1024</v>
      </c>
      <c r="K1185" s="6">
        <f t="shared" si="34"/>
        <v>1</v>
      </c>
    </row>
    <row r="1186" spans="1:11" x14ac:dyDescent="0.2">
      <c r="A1186" t="s">
        <v>1021</v>
      </c>
      <c r="B1186">
        <v>2015</v>
      </c>
      <c r="C1186" t="s">
        <v>1021</v>
      </c>
      <c r="D1186" t="s">
        <v>1025</v>
      </c>
      <c r="E1186" s="5">
        <v>1</v>
      </c>
      <c r="I1186" t="s">
        <v>1023</v>
      </c>
      <c r="K1186" s="6">
        <f t="shared" si="34"/>
        <v>1</v>
      </c>
    </row>
    <row r="1187" spans="1:11" x14ac:dyDescent="0.2">
      <c r="A1187" t="s">
        <v>1021</v>
      </c>
      <c r="B1187">
        <v>2016</v>
      </c>
      <c r="C1187" t="s">
        <v>1021</v>
      </c>
      <c r="D1187" t="s">
        <v>1025</v>
      </c>
      <c r="E1187" s="5">
        <v>1</v>
      </c>
      <c r="I1187" t="s">
        <v>1023</v>
      </c>
      <c r="J1187" t="s">
        <v>1024</v>
      </c>
      <c r="K1187" s="6">
        <f t="shared" si="34"/>
        <v>1</v>
      </c>
    </row>
    <row r="1188" spans="1:11" x14ac:dyDescent="0.2">
      <c r="A1188" t="s">
        <v>1021</v>
      </c>
      <c r="B1188">
        <v>2016</v>
      </c>
      <c r="C1188" t="s">
        <v>1021</v>
      </c>
      <c r="D1188" t="s">
        <v>1025</v>
      </c>
      <c r="E1188" s="5">
        <v>1</v>
      </c>
      <c r="I1188" t="s">
        <v>1023</v>
      </c>
      <c r="K1188" s="6">
        <f t="shared" si="34"/>
        <v>1</v>
      </c>
    </row>
    <row r="1189" spans="1:11" x14ac:dyDescent="0.2">
      <c r="A1189" t="s">
        <v>1021</v>
      </c>
      <c r="B1189">
        <v>2015</v>
      </c>
      <c r="C1189" t="s">
        <v>1021</v>
      </c>
      <c r="D1189" t="s">
        <v>1026</v>
      </c>
      <c r="E1189" s="5">
        <v>1</v>
      </c>
      <c r="I1189" t="s">
        <v>1023</v>
      </c>
      <c r="J1189" t="s">
        <v>1024</v>
      </c>
      <c r="K1189" s="6">
        <f t="shared" si="34"/>
        <v>1</v>
      </c>
    </row>
    <row r="1190" spans="1:11" x14ac:dyDescent="0.2">
      <c r="A1190" t="s">
        <v>1021</v>
      </c>
      <c r="B1190">
        <v>2015</v>
      </c>
      <c r="C1190" t="s">
        <v>1021</v>
      </c>
      <c r="D1190" t="s">
        <v>1026</v>
      </c>
      <c r="E1190" s="5">
        <v>1</v>
      </c>
      <c r="I1190" t="s">
        <v>1023</v>
      </c>
      <c r="K1190" s="6">
        <f t="shared" si="34"/>
        <v>1</v>
      </c>
    </row>
    <row r="1191" spans="1:11" x14ac:dyDescent="0.2">
      <c r="A1191" t="s">
        <v>1021</v>
      </c>
      <c r="B1191">
        <v>2011</v>
      </c>
      <c r="C1191" t="s">
        <v>1021</v>
      </c>
      <c r="D1191" t="s">
        <v>1027</v>
      </c>
      <c r="E1191" s="5">
        <v>1</v>
      </c>
      <c r="I1191" t="s">
        <v>1023</v>
      </c>
      <c r="J1191" t="s">
        <v>1024</v>
      </c>
      <c r="K1191" s="6">
        <f t="shared" si="34"/>
        <v>1</v>
      </c>
    </row>
    <row r="1192" spans="1:11" x14ac:dyDescent="0.2">
      <c r="A1192" t="s">
        <v>1021</v>
      </c>
      <c r="B1192">
        <v>2011</v>
      </c>
      <c r="C1192" t="s">
        <v>1021</v>
      </c>
      <c r="D1192" t="s">
        <v>1027</v>
      </c>
      <c r="E1192" s="5">
        <v>1</v>
      </c>
      <c r="I1192" t="s">
        <v>1023</v>
      </c>
      <c r="K1192" s="6">
        <f t="shared" si="34"/>
        <v>1</v>
      </c>
    </row>
    <row r="1193" spans="1:11" x14ac:dyDescent="0.2">
      <c r="A1193" t="s">
        <v>1021</v>
      </c>
      <c r="B1193">
        <v>2014</v>
      </c>
      <c r="C1193" t="s">
        <v>1021</v>
      </c>
      <c r="D1193" t="s">
        <v>1027</v>
      </c>
      <c r="E1193" s="5">
        <v>1</v>
      </c>
      <c r="I1193" t="s">
        <v>1023</v>
      </c>
      <c r="J1193" t="s">
        <v>1024</v>
      </c>
      <c r="K1193" s="6">
        <f t="shared" si="34"/>
        <v>1</v>
      </c>
    </row>
    <row r="1194" spans="1:11" x14ac:dyDescent="0.2">
      <c r="A1194" t="s">
        <v>1021</v>
      </c>
      <c r="B1194">
        <v>2014</v>
      </c>
      <c r="C1194" t="s">
        <v>1021</v>
      </c>
      <c r="D1194" t="s">
        <v>1027</v>
      </c>
      <c r="E1194" s="7">
        <v>1</v>
      </c>
      <c r="I1194" t="s">
        <v>1023</v>
      </c>
      <c r="K1194" s="6">
        <f t="shared" si="34"/>
        <v>1</v>
      </c>
    </row>
    <row r="1195" spans="1:11" x14ac:dyDescent="0.2">
      <c r="A1195" t="s">
        <v>1021</v>
      </c>
      <c r="B1195">
        <v>2015</v>
      </c>
      <c r="C1195" t="s">
        <v>1021</v>
      </c>
      <c r="D1195" t="s">
        <v>1028</v>
      </c>
      <c r="E1195" s="7">
        <v>1</v>
      </c>
      <c r="I1195" t="s">
        <v>1023</v>
      </c>
      <c r="J1195" t="s">
        <v>1024</v>
      </c>
      <c r="K1195" s="6">
        <f t="shared" si="34"/>
        <v>1</v>
      </c>
    </row>
    <row r="1196" spans="1:11" x14ac:dyDescent="0.2">
      <c r="A1196" t="s">
        <v>1021</v>
      </c>
      <c r="B1196">
        <v>2015</v>
      </c>
      <c r="C1196" t="s">
        <v>1021</v>
      </c>
      <c r="D1196" t="s">
        <v>1028</v>
      </c>
      <c r="E1196" s="7">
        <v>1</v>
      </c>
      <c r="I1196" t="s">
        <v>1023</v>
      </c>
      <c r="K1196" s="6">
        <f t="shared" si="34"/>
        <v>1</v>
      </c>
    </row>
    <row r="1197" spans="1:11" x14ac:dyDescent="0.2">
      <c r="A1197" t="s">
        <v>1021</v>
      </c>
      <c r="B1197">
        <v>2016</v>
      </c>
      <c r="C1197" t="s">
        <v>1021</v>
      </c>
      <c r="D1197" t="s">
        <v>1028</v>
      </c>
      <c r="E1197" s="7">
        <v>1</v>
      </c>
      <c r="I1197" t="s">
        <v>1023</v>
      </c>
      <c r="J1197" t="s">
        <v>1024</v>
      </c>
      <c r="K1197" s="6">
        <f t="shared" si="34"/>
        <v>1</v>
      </c>
    </row>
    <row r="1198" spans="1:11" x14ac:dyDescent="0.2">
      <c r="A1198" t="s">
        <v>1021</v>
      </c>
      <c r="B1198">
        <v>2016</v>
      </c>
      <c r="C1198" t="s">
        <v>1021</v>
      </c>
      <c r="D1198" t="s">
        <v>1028</v>
      </c>
      <c r="E1198" s="7">
        <v>1</v>
      </c>
      <c r="I1198" t="s">
        <v>1023</v>
      </c>
      <c r="J1198" t="s">
        <v>1024</v>
      </c>
      <c r="K1198" s="6">
        <f t="shared" si="34"/>
        <v>1</v>
      </c>
    </row>
    <row r="1199" spans="1:11" x14ac:dyDescent="0.2">
      <c r="A1199" t="s">
        <v>1021</v>
      </c>
      <c r="B1199">
        <v>2017</v>
      </c>
      <c r="C1199" s="8" t="s">
        <v>1029</v>
      </c>
      <c r="D1199" t="s">
        <v>1028</v>
      </c>
      <c r="E1199" s="7">
        <v>1</v>
      </c>
      <c r="I1199" t="s">
        <v>1023</v>
      </c>
      <c r="J1199" t="s">
        <v>1024</v>
      </c>
      <c r="K1199" s="6">
        <f t="shared" si="34"/>
        <v>1</v>
      </c>
    </row>
    <row r="1200" spans="1:11" x14ac:dyDescent="0.2">
      <c r="A1200" t="s">
        <v>1021</v>
      </c>
      <c r="B1200">
        <v>2018</v>
      </c>
      <c r="C1200" s="8" t="s">
        <v>1029</v>
      </c>
      <c r="D1200" t="s">
        <v>1028</v>
      </c>
      <c r="E1200" s="7">
        <v>1</v>
      </c>
      <c r="I1200" t="s">
        <v>1023</v>
      </c>
      <c r="J1200" t="s">
        <v>1030</v>
      </c>
      <c r="K1200" s="6">
        <f t="shared" si="34"/>
        <v>1</v>
      </c>
    </row>
    <row r="1201" spans="1:11" x14ac:dyDescent="0.2">
      <c r="A1201" t="s">
        <v>1021</v>
      </c>
      <c r="B1201">
        <v>2015</v>
      </c>
      <c r="C1201" t="s">
        <v>1021</v>
      </c>
      <c r="D1201" t="s">
        <v>1031</v>
      </c>
      <c r="E1201" s="7">
        <v>1</v>
      </c>
      <c r="I1201" t="s">
        <v>1023</v>
      </c>
      <c r="J1201" t="s">
        <v>1024</v>
      </c>
      <c r="K1201" s="6">
        <f t="shared" si="34"/>
        <v>1</v>
      </c>
    </row>
    <row r="1202" spans="1:11" x14ac:dyDescent="0.2">
      <c r="A1202" t="s">
        <v>1021</v>
      </c>
      <c r="B1202">
        <v>2015</v>
      </c>
      <c r="C1202" t="s">
        <v>1021</v>
      </c>
      <c r="D1202" t="s">
        <v>1031</v>
      </c>
      <c r="E1202" s="7">
        <v>1</v>
      </c>
      <c r="I1202" t="s">
        <v>1023</v>
      </c>
      <c r="K1202" s="6">
        <f t="shared" si="34"/>
        <v>1</v>
      </c>
    </row>
    <row r="1203" spans="1:11" x14ac:dyDescent="0.2">
      <c r="A1203" t="s">
        <v>1021</v>
      </c>
      <c r="B1203">
        <v>2017</v>
      </c>
      <c r="C1203" s="8" t="s">
        <v>1029</v>
      </c>
      <c r="D1203" t="s">
        <v>1031</v>
      </c>
      <c r="E1203" s="7">
        <v>1</v>
      </c>
      <c r="I1203" t="s">
        <v>1023</v>
      </c>
      <c r="K1203" s="6">
        <f t="shared" si="34"/>
        <v>1</v>
      </c>
    </row>
    <row r="1204" spans="1:11" x14ac:dyDescent="0.2">
      <c r="A1204" t="s">
        <v>1021</v>
      </c>
      <c r="B1204">
        <v>2015</v>
      </c>
      <c r="C1204" t="s">
        <v>1021</v>
      </c>
      <c r="D1204" t="s">
        <v>1032</v>
      </c>
      <c r="E1204" s="7">
        <v>1</v>
      </c>
      <c r="I1204" t="s">
        <v>1023</v>
      </c>
      <c r="J1204" t="s">
        <v>1024</v>
      </c>
      <c r="K1204" s="6">
        <f t="shared" si="34"/>
        <v>1</v>
      </c>
    </row>
    <row r="1205" spans="1:11" x14ac:dyDescent="0.2">
      <c r="A1205" t="s">
        <v>1021</v>
      </c>
      <c r="B1205">
        <v>2015</v>
      </c>
      <c r="C1205" t="s">
        <v>1021</v>
      </c>
      <c r="D1205" t="s">
        <v>1032</v>
      </c>
      <c r="E1205" s="7">
        <v>1</v>
      </c>
      <c r="I1205" t="s">
        <v>1023</v>
      </c>
      <c r="K1205" s="6">
        <f t="shared" si="34"/>
        <v>1</v>
      </c>
    </row>
    <row r="1206" spans="1:11" x14ac:dyDescent="0.2">
      <c r="A1206" t="s">
        <v>1021</v>
      </c>
      <c r="B1206">
        <v>2015</v>
      </c>
      <c r="C1206" t="s">
        <v>1021</v>
      </c>
      <c r="D1206" t="s">
        <v>1033</v>
      </c>
      <c r="E1206" s="7">
        <v>1</v>
      </c>
      <c r="I1206" t="s">
        <v>1023</v>
      </c>
      <c r="J1206" t="s">
        <v>1024</v>
      </c>
      <c r="K1206" s="6">
        <f t="shared" si="34"/>
        <v>1</v>
      </c>
    </row>
    <row r="1207" spans="1:11" x14ac:dyDescent="0.2">
      <c r="A1207" t="s">
        <v>1021</v>
      </c>
      <c r="B1207">
        <v>2015</v>
      </c>
      <c r="C1207" t="s">
        <v>1021</v>
      </c>
      <c r="D1207" t="s">
        <v>1033</v>
      </c>
      <c r="E1207" s="5">
        <v>1</v>
      </c>
      <c r="I1207" t="s">
        <v>1023</v>
      </c>
      <c r="K1207" s="6">
        <f t="shared" si="34"/>
        <v>1</v>
      </c>
    </row>
    <row r="1208" spans="1:11" x14ac:dyDescent="0.2">
      <c r="A1208" t="s">
        <v>1021</v>
      </c>
      <c r="B1208">
        <v>2013</v>
      </c>
      <c r="C1208" t="s">
        <v>1021</v>
      </c>
      <c r="D1208" t="s">
        <v>1021</v>
      </c>
      <c r="E1208" s="5">
        <v>1</v>
      </c>
      <c r="I1208" t="s">
        <v>1023</v>
      </c>
      <c r="J1208" t="s">
        <v>1024</v>
      </c>
      <c r="K1208" s="6">
        <f t="shared" si="34"/>
        <v>1</v>
      </c>
    </row>
    <row r="1209" spans="1:11" x14ac:dyDescent="0.2">
      <c r="A1209" t="s">
        <v>1021</v>
      </c>
      <c r="B1209">
        <v>2013</v>
      </c>
      <c r="C1209" t="s">
        <v>1021</v>
      </c>
      <c r="D1209" t="s">
        <v>1021</v>
      </c>
      <c r="E1209" s="5">
        <v>1</v>
      </c>
      <c r="I1209" t="s">
        <v>1023</v>
      </c>
      <c r="K1209" s="6">
        <f t="shared" si="34"/>
        <v>1</v>
      </c>
    </row>
    <row r="1210" spans="1:11" x14ac:dyDescent="0.2">
      <c r="A1210" t="s">
        <v>1021</v>
      </c>
      <c r="B1210">
        <v>2012</v>
      </c>
      <c r="C1210" t="s">
        <v>140</v>
      </c>
      <c r="D1210" t="s">
        <v>1034</v>
      </c>
      <c r="E1210" s="5">
        <v>1</v>
      </c>
      <c r="I1210" t="s">
        <v>1023</v>
      </c>
      <c r="J1210" t="s">
        <v>1024</v>
      </c>
      <c r="K1210" s="6">
        <f t="shared" si="34"/>
        <v>1</v>
      </c>
    </row>
    <row r="1211" spans="1:11" x14ac:dyDescent="0.2">
      <c r="A1211" t="s">
        <v>1021</v>
      </c>
      <c r="B1211">
        <v>2012</v>
      </c>
      <c r="C1211" t="s">
        <v>1034</v>
      </c>
      <c r="D1211" t="s">
        <v>1034</v>
      </c>
      <c r="E1211" s="5">
        <v>1</v>
      </c>
      <c r="I1211" t="s">
        <v>1023</v>
      </c>
      <c r="J1211" t="s">
        <v>1024</v>
      </c>
      <c r="K1211" s="6">
        <f t="shared" si="34"/>
        <v>1</v>
      </c>
    </row>
    <row r="1212" spans="1:11" x14ac:dyDescent="0.2">
      <c r="A1212" t="s">
        <v>1021</v>
      </c>
      <c r="B1212">
        <v>2016</v>
      </c>
      <c r="C1212" t="s">
        <v>1034</v>
      </c>
      <c r="D1212" t="s">
        <v>1034</v>
      </c>
      <c r="E1212" s="5">
        <v>1</v>
      </c>
      <c r="I1212" t="s">
        <v>1023</v>
      </c>
      <c r="J1212" t="s">
        <v>1024</v>
      </c>
      <c r="K1212" s="6">
        <f t="shared" si="34"/>
        <v>1</v>
      </c>
    </row>
    <row r="1213" spans="1:11" x14ac:dyDescent="0.2">
      <c r="A1213" t="s">
        <v>1021</v>
      </c>
      <c r="B1213">
        <v>2013</v>
      </c>
      <c r="C1213" t="s">
        <v>1021</v>
      </c>
      <c r="D1213" t="s">
        <v>1035</v>
      </c>
      <c r="E1213" s="5">
        <v>1</v>
      </c>
      <c r="I1213" t="s">
        <v>1023</v>
      </c>
      <c r="J1213" t="s">
        <v>1024</v>
      </c>
      <c r="K1213" s="6">
        <f t="shared" si="34"/>
        <v>1</v>
      </c>
    </row>
    <row r="1214" spans="1:11" x14ac:dyDescent="0.2">
      <c r="A1214" t="s">
        <v>1021</v>
      </c>
      <c r="B1214">
        <v>2013</v>
      </c>
      <c r="C1214" t="s">
        <v>1021</v>
      </c>
      <c r="D1214" t="s">
        <v>1035</v>
      </c>
      <c r="E1214" s="5">
        <v>1</v>
      </c>
      <c r="I1214" t="s">
        <v>1023</v>
      </c>
      <c r="K1214" s="6">
        <f t="shared" si="34"/>
        <v>1</v>
      </c>
    </row>
    <row r="1215" spans="1:11" x14ac:dyDescent="0.2">
      <c r="A1215" t="s">
        <v>1021</v>
      </c>
      <c r="B1215">
        <v>2011</v>
      </c>
      <c r="C1215" t="s">
        <v>1021</v>
      </c>
      <c r="D1215" t="s">
        <v>1036</v>
      </c>
      <c r="E1215" s="5">
        <v>1</v>
      </c>
      <c r="I1215" t="s">
        <v>1023</v>
      </c>
      <c r="J1215" t="s">
        <v>1024</v>
      </c>
      <c r="K1215" s="6">
        <f t="shared" si="34"/>
        <v>1</v>
      </c>
    </row>
    <row r="1216" spans="1:11" x14ac:dyDescent="0.2">
      <c r="A1216" t="s">
        <v>1021</v>
      </c>
      <c r="B1216">
        <v>2011</v>
      </c>
      <c r="C1216" t="s">
        <v>1021</v>
      </c>
      <c r="D1216" t="s">
        <v>1036</v>
      </c>
      <c r="E1216" s="5">
        <v>1</v>
      </c>
      <c r="I1216" t="s">
        <v>1023</v>
      </c>
      <c r="K1216" s="6">
        <f t="shared" si="34"/>
        <v>1</v>
      </c>
    </row>
    <row r="1217" spans="1:11" x14ac:dyDescent="0.2">
      <c r="A1217" t="s">
        <v>1021</v>
      </c>
      <c r="B1217">
        <v>2015</v>
      </c>
      <c r="C1217" t="s">
        <v>1021</v>
      </c>
      <c r="D1217" t="s">
        <v>1037</v>
      </c>
      <c r="E1217" s="5">
        <v>1</v>
      </c>
      <c r="I1217" t="s">
        <v>1023</v>
      </c>
      <c r="J1217" t="s">
        <v>1024</v>
      </c>
      <c r="K1217" s="6">
        <f t="shared" si="34"/>
        <v>1</v>
      </c>
    </row>
    <row r="1218" spans="1:11" x14ac:dyDescent="0.2">
      <c r="A1218" t="s">
        <v>1021</v>
      </c>
      <c r="B1218">
        <v>2015</v>
      </c>
      <c r="C1218" t="s">
        <v>1021</v>
      </c>
      <c r="D1218" t="s">
        <v>1037</v>
      </c>
      <c r="E1218" s="5">
        <v>1</v>
      </c>
      <c r="I1218" t="s">
        <v>1023</v>
      </c>
      <c r="K1218" s="6">
        <f t="shared" ref="K1218:K1281" si="36">SUM(E1218:H1218)</f>
        <v>1</v>
      </c>
    </row>
    <row r="1219" spans="1:11" x14ac:dyDescent="0.2">
      <c r="A1219" t="s">
        <v>1021</v>
      </c>
      <c r="B1219">
        <v>2016</v>
      </c>
      <c r="C1219" t="s">
        <v>1021</v>
      </c>
      <c r="D1219" t="s">
        <v>1037</v>
      </c>
      <c r="E1219" s="5">
        <v>1</v>
      </c>
      <c r="I1219" t="s">
        <v>1023</v>
      </c>
      <c r="J1219" t="s">
        <v>1024</v>
      </c>
      <c r="K1219" s="6">
        <f t="shared" si="36"/>
        <v>1</v>
      </c>
    </row>
    <row r="1220" spans="1:11" x14ac:dyDescent="0.2">
      <c r="A1220" t="s">
        <v>1021</v>
      </c>
      <c r="B1220">
        <v>2016</v>
      </c>
      <c r="C1220" t="s">
        <v>1021</v>
      </c>
      <c r="D1220" t="s">
        <v>1037</v>
      </c>
      <c r="E1220" s="5">
        <v>1</v>
      </c>
      <c r="I1220" t="s">
        <v>1023</v>
      </c>
      <c r="K1220" s="6">
        <f t="shared" si="36"/>
        <v>1</v>
      </c>
    </row>
    <row r="1221" spans="1:11" x14ac:dyDescent="0.2">
      <c r="A1221" t="s">
        <v>1021</v>
      </c>
      <c r="B1221">
        <v>2017</v>
      </c>
      <c r="C1221" s="8" t="s">
        <v>1029</v>
      </c>
      <c r="D1221" t="s">
        <v>1037</v>
      </c>
      <c r="E1221" s="5">
        <v>1</v>
      </c>
      <c r="I1221" t="s">
        <v>1023</v>
      </c>
      <c r="K1221" s="6">
        <f t="shared" si="36"/>
        <v>1</v>
      </c>
    </row>
    <row r="1222" spans="1:11" x14ac:dyDescent="0.2">
      <c r="A1222" t="s">
        <v>1021</v>
      </c>
      <c r="B1222">
        <v>2014</v>
      </c>
      <c r="C1222" t="s">
        <v>1021</v>
      </c>
      <c r="D1222" t="s">
        <v>1038</v>
      </c>
      <c r="E1222" s="5">
        <v>1</v>
      </c>
      <c r="I1222" t="s">
        <v>1023</v>
      </c>
      <c r="J1222" t="s">
        <v>1024</v>
      </c>
      <c r="K1222" s="6">
        <f t="shared" si="36"/>
        <v>1</v>
      </c>
    </row>
    <row r="1223" spans="1:11" x14ac:dyDescent="0.2">
      <c r="A1223" t="s">
        <v>1021</v>
      </c>
      <c r="B1223">
        <v>2014</v>
      </c>
      <c r="C1223" t="s">
        <v>1021</v>
      </c>
      <c r="D1223" t="s">
        <v>1038</v>
      </c>
      <c r="E1223" s="5">
        <v>1</v>
      </c>
      <c r="I1223" t="s">
        <v>1023</v>
      </c>
      <c r="K1223" s="6">
        <f t="shared" si="36"/>
        <v>1</v>
      </c>
    </row>
    <row r="1224" spans="1:11" x14ac:dyDescent="0.2">
      <c r="A1224" t="s">
        <v>1021</v>
      </c>
      <c r="B1224">
        <v>2015</v>
      </c>
      <c r="C1224" t="s">
        <v>1021</v>
      </c>
      <c r="D1224" t="s">
        <v>1038</v>
      </c>
      <c r="E1224" s="5">
        <v>1</v>
      </c>
      <c r="I1224" t="s">
        <v>1023</v>
      </c>
      <c r="J1224" t="s">
        <v>1024</v>
      </c>
      <c r="K1224" s="6">
        <f t="shared" si="36"/>
        <v>1</v>
      </c>
    </row>
    <row r="1225" spans="1:11" x14ac:dyDescent="0.2">
      <c r="A1225" t="s">
        <v>1021</v>
      </c>
      <c r="B1225">
        <v>2015</v>
      </c>
      <c r="C1225" t="s">
        <v>1021</v>
      </c>
      <c r="D1225" t="s">
        <v>1038</v>
      </c>
      <c r="E1225" s="5">
        <v>1</v>
      </c>
      <c r="I1225" t="s">
        <v>1023</v>
      </c>
      <c r="K1225" s="6">
        <f t="shared" si="36"/>
        <v>1</v>
      </c>
    </row>
    <row r="1226" spans="1:11" x14ac:dyDescent="0.2">
      <c r="A1226" t="s">
        <v>1021</v>
      </c>
      <c r="B1226">
        <v>2016</v>
      </c>
      <c r="C1226" t="s">
        <v>1021</v>
      </c>
      <c r="D1226" t="s">
        <v>1038</v>
      </c>
      <c r="E1226" s="5">
        <v>1</v>
      </c>
      <c r="I1226" t="s">
        <v>1023</v>
      </c>
      <c r="J1226" t="s">
        <v>1024</v>
      </c>
      <c r="K1226" s="6">
        <f t="shared" si="36"/>
        <v>1</v>
      </c>
    </row>
    <row r="1227" spans="1:11" x14ac:dyDescent="0.2">
      <c r="A1227" t="s">
        <v>1021</v>
      </c>
      <c r="B1227">
        <v>2016</v>
      </c>
      <c r="C1227" t="s">
        <v>1021</v>
      </c>
      <c r="D1227" t="s">
        <v>1038</v>
      </c>
      <c r="E1227" s="5">
        <v>1</v>
      </c>
      <c r="I1227" t="s">
        <v>1023</v>
      </c>
      <c r="K1227" s="6">
        <f t="shared" si="36"/>
        <v>1</v>
      </c>
    </row>
    <row r="1228" spans="1:11" x14ac:dyDescent="0.2">
      <c r="A1228" t="s">
        <v>1021</v>
      </c>
      <c r="B1228">
        <v>2017</v>
      </c>
      <c r="C1228" s="8" t="s">
        <v>1029</v>
      </c>
      <c r="D1228" t="s">
        <v>1038</v>
      </c>
      <c r="E1228" s="5">
        <v>1</v>
      </c>
      <c r="I1228" t="s">
        <v>1023</v>
      </c>
      <c r="K1228" s="6">
        <f t="shared" si="36"/>
        <v>1</v>
      </c>
    </row>
    <row r="1229" spans="1:11" x14ac:dyDescent="0.2">
      <c r="A1229" t="s">
        <v>1039</v>
      </c>
      <c r="B1229">
        <v>2018</v>
      </c>
      <c r="C1229" t="s">
        <v>1040</v>
      </c>
      <c r="D1229" t="s">
        <v>1040</v>
      </c>
      <c r="E1229" s="12">
        <f t="shared" ref="E1229:E1236" si="37">((14226*(0.95))/(72671+74561+179071+14226+60628+90078+45370))</f>
        <v>2.5185564800924327E-2</v>
      </c>
      <c r="F1229" s="7"/>
      <c r="G1229" s="7"/>
      <c r="H1229" s="7"/>
      <c r="I1229" s="7" t="s">
        <v>1041</v>
      </c>
      <c r="J1229" s="7" t="s">
        <v>1042</v>
      </c>
      <c r="K1229" s="6">
        <f t="shared" si="36"/>
        <v>2.5185564800924327E-2</v>
      </c>
    </row>
    <row r="1230" spans="1:11" x14ac:dyDescent="0.2">
      <c r="A1230" t="s">
        <v>1039</v>
      </c>
      <c r="B1230">
        <v>2018</v>
      </c>
      <c r="C1230" t="s">
        <v>1040</v>
      </c>
      <c r="D1230" t="s">
        <v>1040</v>
      </c>
      <c r="E1230" s="12">
        <f t="shared" si="37"/>
        <v>2.5185564800924327E-2</v>
      </c>
      <c r="F1230" s="7"/>
      <c r="G1230" s="7"/>
      <c r="H1230" s="7"/>
      <c r="I1230" s="7" t="s">
        <v>1041</v>
      </c>
      <c r="J1230" s="7" t="s">
        <v>1042</v>
      </c>
      <c r="K1230" s="6">
        <f t="shared" si="36"/>
        <v>2.5185564800924327E-2</v>
      </c>
    </row>
    <row r="1231" spans="1:11" x14ac:dyDescent="0.2">
      <c r="A1231" s="8" t="s">
        <v>1039</v>
      </c>
      <c r="B1231">
        <v>2018</v>
      </c>
      <c r="C1231" s="8" t="s">
        <v>1039</v>
      </c>
      <c r="D1231" t="s">
        <v>1043</v>
      </c>
      <c r="E1231" s="12">
        <f t="shared" si="37"/>
        <v>2.5185564800924327E-2</v>
      </c>
      <c r="F1231" s="12"/>
      <c r="G1231" s="12"/>
      <c r="H1231" s="12"/>
      <c r="I1231" s="7" t="s">
        <v>1041</v>
      </c>
      <c r="J1231" s="7" t="s">
        <v>1042</v>
      </c>
      <c r="K1231" s="6">
        <f t="shared" si="36"/>
        <v>2.5185564800924327E-2</v>
      </c>
    </row>
    <row r="1232" spans="1:11" x14ac:dyDescent="0.2">
      <c r="A1232" t="s">
        <v>1039</v>
      </c>
      <c r="B1232">
        <v>2018</v>
      </c>
      <c r="C1232" s="8" t="s">
        <v>1039</v>
      </c>
      <c r="D1232" t="s">
        <v>1043</v>
      </c>
      <c r="E1232" s="12">
        <f t="shared" si="37"/>
        <v>2.5185564800924327E-2</v>
      </c>
      <c r="F1232" s="7"/>
      <c r="G1232" s="7"/>
      <c r="H1232" s="7"/>
      <c r="I1232" s="7" t="s">
        <v>1041</v>
      </c>
      <c r="J1232" s="7" t="s">
        <v>1042</v>
      </c>
      <c r="K1232" s="6">
        <f t="shared" si="36"/>
        <v>2.5185564800924327E-2</v>
      </c>
    </row>
    <row r="1233" spans="1:11" x14ac:dyDescent="0.2">
      <c r="A1233" t="s">
        <v>1039</v>
      </c>
      <c r="B1233">
        <v>2018</v>
      </c>
      <c r="C1233" t="s">
        <v>1044</v>
      </c>
      <c r="D1233" t="s">
        <v>1044</v>
      </c>
      <c r="E1233" s="12">
        <f t="shared" si="37"/>
        <v>2.5185564800924327E-2</v>
      </c>
      <c r="F1233" s="7"/>
      <c r="G1233" s="7"/>
      <c r="H1233" s="7"/>
      <c r="I1233" s="7" t="s">
        <v>1041</v>
      </c>
      <c r="J1233" s="7" t="s">
        <v>1042</v>
      </c>
      <c r="K1233" s="6">
        <f t="shared" si="36"/>
        <v>2.5185564800924327E-2</v>
      </c>
    </row>
    <row r="1234" spans="1:11" x14ac:dyDescent="0.2">
      <c r="A1234" t="s">
        <v>1039</v>
      </c>
      <c r="B1234">
        <v>2018</v>
      </c>
      <c r="C1234" t="s">
        <v>1044</v>
      </c>
      <c r="D1234" t="s">
        <v>1044</v>
      </c>
      <c r="E1234" s="12">
        <f t="shared" si="37"/>
        <v>2.5185564800924327E-2</v>
      </c>
      <c r="F1234" s="7"/>
      <c r="G1234" s="7"/>
      <c r="H1234" s="7"/>
      <c r="I1234" s="7" t="s">
        <v>1041</v>
      </c>
      <c r="J1234" s="7" t="s">
        <v>1042</v>
      </c>
      <c r="K1234" s="6">
        <f t="shared" si="36"/>
        <v>2.5185564800924327E-2</v>
      </c>
    </row>
    <row r="1235" spans="1:11" x14ac:dyDescent="0.2">
      <c r="A1235" s="9" t="s">
        <v>1039</v>
      </c>
      <c r="B1235" s="9">
        <v>2019</v>
      </c>
      <c r="C1235" s="9" t="s">
        <v>1044</v>
      </c>
      <c r="D1235" s="9" t="s">
        <v>1044</v>
      </c>
      <c r="E1235" s="13">
        <f t="shared" si="37"/>
        <v>2.5185564800924327E-2</v>
      </c>
      <c r="F1235" s="10"/>
      <c r="G1235" s="10"/>
      <c r="H1235" s="10"/>
      <c r="I1235" s="10" t="s">
        <v>1041</v>
      </c>
      <c r="J1235" s="10" t="s">
        <v>1042</v>
      </c>
      <c r="K1235" s="6">
        <f t="shared" si="36"/>
        <v>2.5185564800924327E-2</v>
      </c>
    </row>
    <row r="1236" spans="1:11" x14ac:dyDescent="0.2">
      <c r="A1236" s="9" t="s">
        <v>1039</v>
      </c>
      <c r="B1236" s="9">
        <v>2019</v>
      </c>
      <c r="C1236" s="9" t="s">
        <v>1044</v>
      </c>
      <c r="D1236" s="9" t="s">
        <v>1044</v>
      </c>
      <c r="E1236" s="13">
        <f t="shared" si="37"/>
        <v>2.5185564800924327E-2</v>
      </c>
      <c r="F1236" s="10"/>
      <c r="G1236" s="10"/>
      <c r="H1236" s="10"/>
      <c r="I1236" s="10" t="s">
        <v>1041</v>
      </c>
      <c r="J1236" s="10" t="s">
        <v>1042</v>
      </c>
      <c r="K1236" s="6">
        <f t="shared" si="36"/>
        <v>2.5185564800924327E-2</v>
      </c>
    </row>
    <row r="1237" spans="1:11" x14ac:dyDescent="0.2">
      <c r="A1237" s="8" t="s">
        <v>1039</v>
      </c>
      <c r="B1237">
        <v>2016</v>
      </c>
      <c r="C1237" s="8" t="s">
        <v>1039</v>
      </c>
      <c r="D1237" t="s">
        <v>1045</v>
      </c>
      <c r="E1237" s="11">
        <v>0.95</v>
      </c>
      <c r="F1237" s="11"/>
      <c r="G1237" s="11"/>
      <c r="H1237" s="11"/>
      <c r="I1237" s="5" t="s">
        <v>1046</v>
      </c>
      <c r="J1237" t="s">
        <v>1047</v>
      </c>
      <c r="K1237" s="6">
        <f t="shared" si="36"/>
        <v>0.95</v>
      </c>
    </row>
    <row r="1238" spans="1:11" x14ac:dyDescent="0.2">
      <c r="A1238" s="8" t="s">
        <v>1039</v>
      </c>
      <c r="B1238">
        <v>2017</v>
      </c>
      <c r="C1238" s="8" t="s">
        <v>1039</v>
      </c>
      <c r="D1238" t="s">
        <v>1048</v>
      </c>
      <c r="E1238" s="11">
        <v>0.95</v>
      </c>
      <c r="F1238" s="11"/>
      <c r="G1238" s="11"/>
      <c r="H1238" s="11"/>
      <c r="I1238" s="5" t="s">
        <v>1046</v>
      </c>
      <c r="J1238" t="s">
        <v>1047</v>
      </c>
      <c r="K1238" s="6">
        <f t="shared" si="36"/>
        <v>0.95</v>
      </c>
    </row>
    <row r="1239" spans="1:11" x14ac:dyDescent="0.2">
      <c r="A1239" s="8" t="s">
        <v>1039</v>
      </c>
      <c r="B1239">
        <v>2018</v>
      </c>
      <c r="C1239" s="8" t="s">
        <v>1039</v>
      </c>
      <c r="D1239" t="s">
        <v>1048</v>
      </c>
      <c r="E1239" s="12">
        <v>0.95</v>
      </c>
      <c r="F1239" s="12"/>
      <c r="G1239" s="12"/>
      <c r="H1239" s="12"/>
      <c r="I1239" s="7" t="s">
        <v>1046</v>
      </c>
      <c r="J1239" t="s">
        <v>1049</v>
      </c>
      <c r="K1239" s="6">
        <f t="shared" si="36"/>
        <v>0.95</v>
      </c>
    </row>
    <row r="1240" spans="1:11" x14ac:dyDescent="0.2">
      <c r="A1240" t="s">
        <v>1039</v>
      </c>
      <c r="B1240">
        <v>2018</v>
      </c>
      <c r="C1240" s="8" t="s">
        <v>1039</v>
      </c>
      <c r="D1240" t="s">
        <v>1048</v>
      </c>
      <c r="E1240" s="12">
        <v>0.95</v>
      </c>
      <c r="F1240" s="12"/>
      <c r="G1240" s="12"/>
      <c r="H1240" s="12"/>
      <c r="I1240" s="7" t="s">
        <v>1046</v>
      </c>
      <c r="J1240" t="s">
        <v>1049</v>
      </c>
      <c r="K1240" s="6">
        <f t="shared" si="36"/>
        <v>0.95</v>
      </c>
    </row>
    <row r="1241" spans="1:11" x14ac:dyDescent="0.2">
      <c r="A1241" t="s">
        <v>1039</v>
      </c>
      <c r="B1241">
        <v>2018</v>
      </c>
      <c r="C1241" t="s">
        <v>1048</v>
      </c>
      <c r="D1241" t="s">
        <v>1048</v>
      </c>
      <c r="E1241" s="12">
        <v>0.95</v>
      </c>
      <c r="F1241" s="12"/>
      <c r="G1241" s="12"/>
      <c r="H1241" s="12"/>
      <c r="I1241" s="7" t="s">
        <v>1046</v>
      </c>
      <c r="J1241" t="s">
        <v>1049</v>
      </c>
      <c r="K1241" s="6">
        <f t="shared" si="36"/>
        <v>0.95</v>
      </c>
    </row>
    <row r="1242" spans="1:11" x14ac:dyDescent="0.2">
      <c r="A1242" s="9" t="s">
        <v>1039</v>
      </c>
      <c r="B1242" s="9">
        <v>2019</v>
      </c>
      <c r="C1242" s="9" t="s">
        <v>1048</v>
      </c>
      <c r="D1242" s="9" t="s">
        <v>1048</v>
      </c>
      <c r="E1242" s="13">
        <v>0.95</v>
      </c>
      <c r="F1242" s="13"/>
      <c r="G1242" s="13"/>
      <c r="H1242" s="13"/>
      <c r="I1242" s="10" t="s">
        <v>1046</v>
      </c>
      <c r="J1242" s="9" t="s">
        <v>1049</v>
      </c>
      <c r="K1242" s="17">
        <f t="shared" si="36"/>
        <v>0.95</v>
      </c>
    </row>
    <row r="1243" spans="1:11" x14ac:dyDescent="0.2">
      <c r="A1243" s="8" t="s">
        <v>1039</v>
      </c>
      <c r="B1243">
        <v>2010</v>
      </c>
      <c r="C1243" s="8" t="s">
        <v>1039</v>
      </c>
      <c r="D1243" t="s">
        <v>1050</v>
      </c>
      <c r="E1243" s="11">
        <f>(24575*(95/100))/(106628+92295+136062+14883+24575+39615+125805)</f>
        <v>4.3244767654015928E-2</v>
      </c>
      <c r="I1243" s="5" t="s">
        <v>1051</v>
      </c>
      <c r="J1243" s="5" t="s">
        <v>1052</v>
      </c>
      <c r="K1243" s="6">
        <f t="shared" si="36"/>
        <v>4.3244767654015928E-2</v>
      </c>
    </row>
    <row r="1244" spans="1:11" x14ac:dyDescent="0.2">
      <c r="A1244" t="s">
        <v>1039</v>
      </c>
      <c r="B1244">
        <v>2018</v>
      </c>
      <c r="C1244" t="s">
        <v>1053</v>
      </c>
      <c r="D1244" t="s">
        <v>1053</v>
      </c>
      <c r="E1244" s="21" t="s">
        <v>1054</v>
      </c>
      <c r="F1244" s="21" t="s">
        <v>1054</v>
      </c>
      <c r="G1244" s="21" t="s">
        <v>1054</v>
      </c>
      <c r="H1244" s="21" t="s">
        <v>1054</v>
      </c>
      <c r="K1244" s="6">
        <f t="shared" si="36"/>
        <v>0</v>
      </c>
    </row>
    <row r="1245" spans="1:11" x14ac:dyDescent="0.2">
      <c r="A1245" t="s">
        <v>1039</v>
      </c>
      <c r="B1245">
        <v>2018</v>
      </c>
      <c r="C1245" t="s">
        <v>1053</v>
      </c>
      <c r="D1245" t="s">
        <v>1053</v>
      </c>
      <c r="E1245" s="21" t="s">
        <v>1054</v>
      </c>
      <c r="F1245" s="21" t="s">
        <v>1054</v>
      </c>
      <c r="G1245" s="21" t="s">
        <v>1054</v>
      </c>
      <c r="H1245" s="21" t="s">
        <v>1054</v>
      </c>
      <c r="K1245" s="6">
        <f t="shared" si="36"/>
        <v>0</v>
      </c>
    </row>
    <row r="1246" spans="1:11" x14ac:dyDescent="0.2">
      <c r="A1246" t="s">
        <v>1039</v>
      </c>
      <c r="B1246">
        <v>2019</v>
      </c>
      <c r="C1246" t="s">
        <v>1053</v>
      </c>
      <c r="D1246" t="s">
        <v>1053</v>
      </c>
      <c r="E1246" s="21" t="s">
        <v>1054</v>
      </c>
      <c r="F1246" s="21" t="s">
        <v>1054</v>
      </c>
      <c r="G1246" s="21" t="s">
        <v>1054</v>
      </c>
      <c r="H1246" s="21" t="s">
        <v>1054</v>
      </c>
      <c r="K1246" s="6">
        <f t="shared" si="36"/>
        <v>0</v>
      </c>
    </row>
    <row r="1247" spans="1:11" x14ac:dyDescent="0.2">
      <c r="A1247" t="s">
        <v>1039</v>
      </c>
      <c r="B1247">
        <v>2019</v>
      </c>
      <c r="C1247" t="s">
        <v>1053</v>
      </c>
      <c r="D1247" t="s">
        <v>1053</v>
      </c>
      <c r="E1247" s="21" t="s">
        <v>1054</v>
      </c>
      <c r="F1247" s="21" t="s">
        <v>1054</v>
      </c>
      <c r="G1247" s="21" t="s">
        <v>1054</v>
      </c>
      <c r="H1247" s="21" t="s">
        <v>1054</v>
      </c>
      <c r="K1247" s="6">
        <f t="shared" si="36"/>
        <v>0</v>
      </c>
    </row>
    <row r="1248" spans="1:11" x14ac:dyDescent="0.2">
      <c r="A1248" s="8" t="s">
        <v>1039</v>
      </c>
      <c r="B1248">
        <v>2016</v>
      </c>
      <c r="C1248" s="8" t="s">
        <v>1039</v>
      </c>
      <c r="D1248" t="s">
        <v>1055</v>
      </c>
      <c r="E1248" s="11">
        <f>((15403*(95/100))/(75827+73761+154602+15403+45156+53349+38607))</f>
        <v>3.2040047733219473E-2</v>
      </c>
      <c r="F1248" s="11"/>
      <c r="G1248" s="11"/>
      <c r="H1248" s="11"/>
      <c r="I1248" s="5" t="s">
        <v>1056</v>
      </c>
      <c r="J1248" s="5" t="s">
        <v>1057</v>
      </c>
      <c r="K1248" s="6">
        <f t="shared" si="36"/>
        <v>3.2040047733219473E-2</v>
      </c>
    </row>
    <row r="1249" spans="1:11" x14ac:dyDescent="0.2">
      <c r="A1249" s="8" t="s">
        <v>1039</v>
      </c>
      <c r="B1249">
        <v>2017</v>
      </c>
      <c r="C1249" s="8" t="s">
        <v>1039</v>
      </c>
      <c r="D1249" t="s">
        <v>1055</v>
      </c>
      <c r="E1249" s="11">
        <f>((15687*(1/3))/(73828+77364+156873+15687+49549+64848+40780))</f>
        <v>1.0918111035247396E-2</v>
      </c>
      <c r="F1249" s="11"/>
      <c r="G1249" s="11"/>
      <c r="H1249" s="11"/>
      <c r="I1249" s="5" t="s">
        <v>1056</v>
      </c>
      <c r="J1249" s="5" t="s">
        <v>1057</v>
      </c>
      <c r="K1249" s="6">
        <f t="shared" si="36"/>
        <v>1.0918111035247396E-2</v>
      </c>
    </row>
    <row r="1250" spans="1:11" x14ac:dyDescent="0.2">
      <c r="A1250" s="8" t="s">
        <v>1039</v>
      </c>
      <c r="B1250">
        <v>2018</v>
      </c>
      <c r="C1250" s="8" t="s">
        <v>1039</v>
      </c>
      <c r="D1250" t="s">
        <v>1055</v>
      </c>
      <c r="E1250" s="12">
        <f>((14226*(0.95))/(72671+74561+179071+14226+60628+90078+45370))</f>
        <v>2.5185564800924327E-2</v>
      </c>
      <c r="F1250" s="12"/>
      <c r="G1250" s="12"/>
      <c r="H1250" s="12"/>
      <c r="I1250" s="7" t="s">
        <v>1058</v>
      </c>
      <c r="J1250" s="7" t="s">
        <v>1042</v>
      </c>
      <c r="K1250" s="6">
        <f t="shared" si="36"/>
        <v>2.5185564800924327E-2</v>
      </c>
    </row>
    <row r="1251" spans="1:11" x14ac:dyDescent="0.2">
      <c r="A1251" t="s">
        <v>1039</v>
      </c>
      <c r="B1251">
        <v>2018</v>
      </c>
      <c r="C1251" s="8" t="s">
        <v>1039</v>
      </c>
      <c r="D1251" t="s">
        <v>1055</v>
      </c>
      <c r="E1251" s="12">
        <f>((14226*(0.95))/(72671+74561+179071+14226+60628+90078+45370))</f>
        <v>2.5185564800924327E-2</v>
      </c>
      <c r="F1251" s="12"/>
      <c r="G1251" s="12"/>
      <c r="H1251" s="12"/>
      <c r="I1251" s="7" t="s">
        <v>1058</v>
      </c>
      <c r="J1251" s="7" t="s">
        <v>1042</v>
      </c>
      <c r="K1251" s="6">
        <f t="shared" si="36"/>
        <v>2.5185564800924327E-2</v>
      </c>
    </row>
    <row r="1252" spans="1:11" x14ac:dyDescent="0.2">
      <c r="A1252" t="s">
        <v>1039</v>
      </c>
      <c r="B1252">
        <v>2018</v>
      </c>
      <c r="C1252" t="s">
        <v>1055</v>
      </c>
      <c r="D1252" t="s">
        <v>1055</v>
      </c>
      <c r="E1252" s="12">
        <f>((14226*(0.95))/(72671+74561+179071+14226+60628+90078+45370))</f>
        <v>2.5185564800924327E-2</v>
      </c>
      <c r="F1252" s="12"/>
      <c r="G1252" s="12"/>
      <c r="H1252" s="12"/>
      <c r="I1252" s="7" t="s">
        <v>1058</v>
      </c>
      <c r="J1252" s="7" t="s">
        <v>1042</v>
      </c>
      <c r="K1252" s="6">
        <f t="shared" si="36"/>
        <v>2.5185564800924327E-2</v>
      </c>
    </row>
    <row r="1253" spans="1:11" x14ac:dyDescent="0.2">
      <c r="A1253" s="9" t="s">
        <v>1039</v>
      </c>
      <c r="B1253" s="9">
        <v>2019</v>
      </c>
      <c r="C1253" s="9" t="s">
        <v>1055</v>
      </c>
      <c r="D1253" s="9" t="s">
        <v>1055</v>
      </c>
      <c r="E1253" s="13">
        <f>((14226*(0.95))/(72671+74561+179071+14226+60628+90078+45370))</f>
        <v>2.5185564800924327E-2</v>
      </c>
      <c r="F1253" s="13"/>
      <c r="G1253" s="13"/>
      <c r="H1253" s="13"/>
      <c r="I1253" s="10" t="s">
        <v>1058</v>
      </c>
      <c r="J1253" s="10" t="s">
        <v>1042</v>
      </c>
      <c r="K1253" s="6">
        <f t="shared" si="36"/>
        <v>2.5185564800924327E-2</v>
      </c>
    </row>
    <row r="1254" spans="1:11" x14ac:dyDescent="0.2">
      <c r="A1254" s="8" t="s">
        <v>1039</v>
      </c>
      <c r="B1254">
        <v>2011</v>
      </c>
      <c r="C1254" s="8" t="s">
        <v>1039</v>
      </c>
      <c r="D1254" t="s">
        <v>1059</v>
      </c>
      <c r="E1254" s="11">
        <f>(24575*(95/100))/(106628+92295+136062+14883+24575+39615+125805)</f>
        <v>4.3244767654015928E-2</v>
      </c>
      <c r="F1254" s="11"/>
      <c r="G1254" s="11"/>
      <c r="H1254" s="11"/>
      <c r="I1254" s="5" t="s">
        <v>1060</v>
      </c>
      <c r="J1254" s="5" t="s">
        <v>1052</v>
      </c>
      <c r="K1254" s="6">
        <f t="shared" si="36"/>
        <v>4.3244767654015928E-2</v>
      </c>
    </row>
    <row r="1255" spans="1:11" x14ac:dyDescent="0.2">
      <c r="A1255" s="8" t="s">
        <v>1039</v>
      </c>
      <c r="B1255">
        <v>2012</v>
      </c>
      <c r="C1255" s="8" t="s">
        <v>1039</v>
      </c>
      <c r="D1255" t="s">
        <v>1059</v>
      </c>
      <c r="E1255" s="11">
        <f>(24575*(0.95))/(106628+92295+136062+14883+24575+39615+125805)</f>
        <v>4.3244767654015928E-2</v>
      </c>
      <c r="F1255" s="11"/>
      <c r="G1255" s="11"/>
      <c r="H1255" s="11"/>
      <c r="I1255" s="5" t="s">
        <v>1061</v>
      </c>
      <c r="J1255" s="5" t="s">
        <v>1052</v>
      </c>
      <c r="K1255" s="6">
        <f t="shared" si="36"/>
        <v>4.3244767654015928E-2</v>
      </c>
    </row>
    <row r="1256" spans="1:11" x14ac:dyDescent="0.2">
      <c r="A1256" s="8" t="s">
        <v>1039</v>
      </c>
      <c r="B1256">
        <v>2014</v>
      </c>
      <c r="C1256" s="8" t="s">
        <v>1039</v>
      </c>
      <c r="D1256" t="s">
        <v>1059</v>
      </c>
      <c r="E1256" s="11">
        <f>(12911*(95/100))/(72967+75961+130532+15999+13142+42168+72366)</f>
        <v>2.8987084500218602E-2</v>
      </c>
      <c r="F1256" s="11"/>
      <c r="G1256" s="11"/>
      <c r="H1256" s="11"/>
      <c r="I1256" s="5" t="s">
        <v>1061</v>
      </c>
      <c r="J1256" s="5" t="s">
        <v>1062</v>
      </c>
      <c r="K1256" s="6">
        <f t="shared" si="36"/>
        <v>2.8987084500218602E-2</v>
      </c>
    </row>
    <row r="1257" spans="1:11" x14ac:dyDescent="0.2">
      <c r="A1257" s="8" t="s">
        <v>1039</v>
      </c>
      <c r="B1257">
        <v>2016</v>
      </c>
      <c r="C1257" s="8" t="s">
        <v>1039</v>
      </c>
      <c r="D1257" t="s">
        <v>1059</v>
      </c>
      <c r="E1257" s="11">
        <f>((15403*(95/100))/(75827+73761+154602+15403+45156+53349+38607))</f>
        <v>3.2040047733219473E-2</v>
      </c>
      <c r="F1257" s="11"/>
      <c r="G1257" s="11"/>
      <c r="H1257" s="11"/>
      <c r="I1257" s="5" t="s">
        <v>1056</v>
      </c>
      <c r="J1257" s="5" t="s">
        <v>1057</v>
      </c>
      <c r="K1257" s="6">
        <f t="shared" si="36"/>
        <v>3.2040047733219473E-2</v>
      </c>
    </row>
    <row r="1258" spans="1:11" x14ac:dyDescent="0.2">
      <c r="A1258" s="8" t="s">
        <v>1039</v>
      </c>
      <c r="B1258">
        <v>2017</v>
      </c>
      <c r="C1258" s="8" t="s">
        <v>1039</v>
      </c>
      <c r="D1258" t="s">
        <v>1059</v>
      </c>
      <c r="E1258" s="11">
        <f>((15687*(1/3))/(73828+77364+156873+15687+49549+64848+40780))</f>
        <v>1.0918111035247396E-2</v>
      </c>
      <c r="F1258" s="11"/>
      <c r="G1258" s="11"/>
      <c r="H1258" s="11"/>
      <c r="I1258" s="5" t="s">
        <v>1056</v>
      </c>
      <c r="J1258" s="5" t="s">
        <v>1057</v>
      </c>
      <c r="K1258" s="6">
        <f t="shared" si="36"/>
        <v>1.0918111035247396E-2</v>
      </c>
    </row>
    <row r="1259" spans="1:11" x14ac:dyDescent="0.2">
      <c r="A1259" s="8" t="s">
        <v>1039</v>
      </c>
      <c r="B1259">
        <v>2018</v>
      </c>
      <c r="C1259" s="8" t="s">
        <v>1039</v>
      </c>
      <c r="D1259" t="s">
        <v>1059</v>
      </c>
      <c r="E1259" s="12">
        <f t="shared" ref="E1259:E1268" si="38">((14226*(0.95))/(72671+74561+179071+14226+60628+90078+45370))</f>
        <v>2.5185564800924327E-2</v>
      </c>
      <c r="F1259" s="12"/>
      <c r="G1259" s="12"/>
      <c r="H1259" s="12"/>
      <c r="I1259" s="7" t="s">
        <v>1058</v>
      </c>
      <c r="J1259" s="7" t="s">
        <v>1042</v>
      </c>
      <c r="K1259" s="6">
        <f t="shared" si="36"/>
        <v>2.5185564800924327E-2</v>
      </c>
    </row>
    <row r="1260" spans="1:11" x14ac:dyDescent="0.2">
      <c r="A1260" t="s">
        <v>1039</v>
      </c>
      <c r="B1260">
        <v>2018</v>
      </c>
      <c r="C1260" s="8" t="s">
        <v>1039</v>
      </c>
      <c r="D1260" t="s">
        <v>1059</v>
      </c>
      <c r="E1260" s="12">
        <f t="shared" si="38"/>
        <v>2.5185564800924327E-2</v>
      </c>
      <c r="F1260" s="12"/>
      <c r="G1260" s="12"/>
      <c r="H1260" s="12"/>
      <c r="I1260" s="7" t="s">
        <v>1058</v>
      </c>
      <c r="J1260" s="7" t="s">
        <v>1042</v>
      </c>
      <c r="K1260" s="6">
        <f t="shared" si="36"/>
        <v>2.5185564800924327E-2</v>
      </c>
    </row>
    <row r="1261" spans="1:11" x14ac:dyDescent="0.2">
      <c r="A1261" t="s">
        <v>1039</v>
      </c>
      <c r="B1261">
        <v>2018</v>
      </c>
      <c r="C1261" t="s">
        <v>1059</v>
      </c>
      <c r="D1261" t="s">
        <v>1059</v>
      </c>
      <c r="E1261" s="12">
        <f t="shared" si="38"/>
        <v>2.5185564800924327E-2</v>
      </c>
      <c r="F1261" s="12"/>
      <c r="G1261" s="12"/>
      <c r="H1261" s="12"/>
      <c r="I1261" s="7" t="s">
        <v>1058</v>
      </c>
      <c r="J1261" s="7" t="s">
        <v>1042</v>
      </c>
      <c r="K1261" s="6">
        <f t="shared" si="36"/>
        <v>2.5185564800924327E-2</v>
      </c>
    </row>
    <row r="1262" spans="1:11" x14ac:dyDescent="0.2">
      <c r="A1262" s="9" t="s">
        <v>1039</v>
      </c>
      <c r="B1262" s="9">
        <v>2019</v>
      </c>
      <c r="C1262" s="9" t="s">
        <v>1059</v>
      </c>
      <c r="D1262" s="9" t="s">
        <v>1059</v>
      </c>
      <c r="E1262" s="13">
        <f t="shared" si="38"/>
        <v>2.5185564800924327E-2</v>
      </c>
      <c r="F1262" s="13"/>
      <c r="G1262" s="13"/>
      <c r="H1262" s="13"/>
      <c r="I1262" s="10" t="s">
        <v>1058</v>
      </c>
      <c r="J1262" s="10" t="s">
        <v>1042</v>
      </c>
      <c r="K1262" s="6">
        <f t="shared" si="36"/>
        <v>2.5185564800924327E-2</v>
      </c>
    </row>
    <row r="1263" spans="1:11" x14ac:dyDescent="0.2">
      <c r="A1263" s="8" t="s">
        <v>1039</v>
      </c>
      <c r="B1263">
        <v>2018</v>
      </c>
      <c r="C1263" s="8" t="s">
        <v>1039</v>
      </c>
      <c r="D1263" t="s">
        <v>1063</v>
      </c>
      <c r="E1263" s="12">
        <f t="shared" si="38"/>
        <v>2.5185564800924327E-2</v>
      </c>
      <c r="F1263" s="12"/>
      <c r="G1263" s="12"/>
      <c r="H1263" s="12"/>
      <c r="I1263" s="7" t="s">
        <v>1058</v>
      </c>
      <c r="J1263" s="7" t="s">
        <v>1042</v>
      </c>
      <c r="K1263" s="6">
        <f t="shared" si="36"/>
        <v>2.5185564800924327E-2</v>
      </c>
    </row>
    <row r="1264" spans="1:11" x14ac:dyDescent="0.2">
      <c r="A1264" t="s">
        <v>1039</v>
      </c>
      <c r="B1264">
        <v>2018</v>
      </c>
      <c r="C1264" t="s">
        <v>1063</v>
      </c>
      <c r="D1264" t="s">
        <v>1063</v>
      </c>
      <c r="E1264" s="12">
        <f t="shared" si="38"/>
        <v>2.5185564800924327E-2</v>
      </c>
      <c r="F1264" s="12"/>
      <c r="G1264" s="12"/>
      <c r="H1264" s="12"/>
      <c r="I1264" s="7" t="s">
        <v>1058</v>
      </c>
      <c r="J1264" s="7" t="s">
        <v>1042</v>
      </c>
      <c r="K1264" s="6">
        <f t="shared" si="36"/>
        <v>2.5185564800924327E-2</v>
      </c>
    </row>
    <row r="1265" spans="1:11" x14ac:dyDescent="0.2">
      <c r="A1265" s="9" t="s">
        <v>1039</v>
      </c>
      <c r="B1265" s="9">
        <v>2019</v>
      </c>
      <c r="C1265" s="9" t="s">
        <v>1063</v>
      </c>
      <c r="D1265" s="9" t="s">
        <v>1063</v>
      </c>
      <c r="E1265" s="13">
        <f t="shared" si="38"/>
        <v>2.5185564800924327E-2</v>
      </c>
      <c r="F1265" s="13"/>
      <c r="G1265" s="13"/>
      <c r="H1265" s="13"/>
      <c r="I1265" s="10" t="s">
        <v>1058</v>
      </c>
      <c r="J1265" s="10" t="s">
        <v>1042</v>
      </c>
      <c r="K1265" s="6">
        <f t="shared" si="36"/>
        <v>2.5185564800924327E-2</v>
      </c>
    </row>
    <row r="1266" spans="1:11" x14ac:dyDescent="0.2">
      <c r="A1266" s="8" t="s">
        <v>1039</v>
      </c>
      <c r="B1266">
        <v>2018</v>
      </c>
      <c r="C1266" s="8" t="s">
        <v>1039</v>
      </c>
      <c r="D1266" t="s">
        <v>1064</v>
      </c>
      <c r="E1266" s="12">
        <f t="shared" si="38"/>
        <v>2.5185564800924327E-2</v>
      </c>
      <c r="F1266" s="12"/>
      <c r="G1266" s="12"/>
      <c r="H1266" s="12"/>
      <c r="I1266" s="7" t="s">
        <v>1058</v>
      </c>
      <c r="J1266" s="7" t="s">
        <v>1042</v>
      </c>
      <c r="K1266" s="6">
        <f t="shared" si="36"/>
        <v>2.5185564800924327E-2</v>
      </c>
    </row>
    <row r="1267" spans="1:11" x14ac:dyDescent="0.2">
      <c r="A1267" t="s">
        <v>1039</v>
      </c>
      <c r="B1267">
        <v>2018</v>
      </c>
      <c r="C1267" t="s">
        <v>1064</v>
      </c>
      <c r="D1267" t="s">
        <v>1064</v>
      </c>
      <c r="E1267" s="12">
        <f t="shared" si="38"/>
        <v>2.5185564800924327E-2</v>
      </c>
      <c r="F1267" s="12"/>
      <c r="G1267" s="12"/>
      <c r="H1267" s="12"/>
      <c r="I1267" s="7" t="s">
        <v>1058</v>
      </c>
      <c r="J1267" s="7" t="s">
        <v>1042</v>
      </c>
      <c r="K1267" s="6">
        <f t="shared" si="36"/>
        <v>2.5185564800924327E-2</v>
      </c>
    </row>
    <row r="1268" spans="1:11" x14ac:dyDescent="0.2">
      <c r="A1268" s="9" t="s">
        <v>1039</v>
      </c>
      <c r="B1268" s="9">
        <v>2019</v>
      </c>
      <c r="C1268" s="9" t="s">
        <v>1064</v>
      </c>
      <c r="D1268" s="9" t="s">
        <v>1064</v>
      </c>
      <c r="E1268" s="13">
        <f t="shared" si="38"/>
        <v>2.5185564800924327E-2</v>
      </c>
      <c r="F1268" s="13"/>
      <c r="G1268" s="13"/>
      <c r="H1268" s="13"/>
      <c r="I1268" s="10" t="s">
        <v>1058</v>
      </c>
      <c r="J1268" s="10" t="s">
        <v>1042</v>
      </c>
      <c r="K1268" s="6">
        <f t="shared" si="36"/>
        <v>2.5185564800924327E-2</v>
      </c>
    </row>
    <row r="1269" spans="1:11" x14ac:dyDescent="0.2">
      <c r="A1269" s="8" t="s">
        <v>1039</v>
      </c>
      <c r="B1269">
        <v>2016</v>
      </c>
      <c r="C1269" s="8" t="s">
        <v>1039</v>
      </c>
      <c r="D1269" t="s">
        <v>1065</v>
      </c>
      <c r="E1269" s="12">
        <f>((15403*(95/100))/(75827+73761+154602+15403+45156+53349+38607))</f>
        <v>3.2040047733219473E-2</v>
      </c>
      <c r="F1269" s="12"/>
      <c r="G1269" s="12"/>
      <c r="H1269" s="12"/>
      <c r="I1269" s="7" t="s">
        <v>1056</v>
      </c>
      <c r="J1269" s="7" t="s">
        <v>1057</v>
      </c>
      <c r="K1269" s="6">
        <f t="shared" si="36"/>
        <v>3.2040047733219473E-2</v>
      </c>
    </row>
    <row r="1270" spans="1:11" x14ac:dyDescent="0.2">
      <c r="A1270" s="8" t="s">
        <v>1039</v>
      </c>
      <c r="B1270">
        <v>2017</v>
      </c>
      <c r="C1270" s="8" t="s">
        <v>1039</v>
      </c>
      <c r="D1270" t="s">
        <v>1065</v>
      </c>
      <c r="E1270" s="12">
        <f>((15687*(1/3))/(73828+77364+156873+15687+49549+64848+40780))</f>
        <v>1.0918111035247396E-2</v>
      </c>
      <c r="F1270" s="12"/>
      <c r="G1270" s="12"/>
      <c r="H1270" s="12"/>
      <c r="I1270" s="7" t="s">
        <v>1056</v>
      </c>
      <c r="J1270" s="7" t="s">
        <v>1057</v>
      </c>
      <c r="K1270" s="6">
        <f t="shared" si="36"/>
        <v>1.0918111035247396E-2</v>
      </c>
    </row>
    <row r="1271" spans="1:11" x14ac:dyDescent="0.2">
      <c r="A1271" s="8" t="s">
        <v>1039</v>
      </c>
      <c r="B1271">
        <v>2018</v>
      </c>
      <c r="C1271" s="8" t="s">
        <v>1039</v>
      </c>
      <c r="D1271" t="s">
        <v>1065</v>
      </c>
      <c r="E1271" s="12">
        <f>((15687*(0.95))/(73828+77364+156873+15687+49549+64848+40780))</f>
        <v>3.1116616450455076E-2</v>
      </c>
      <c r="F1271" s="12"/>
      <c r="G1271" s="12"/>
      <c r="H1271" s="12"/>
      <c r="I1271" s="7" t="s">
        <v>1056</v>
      </c>
      <c r="J1271" s="7" t="s">
        <v>1057</v>
      </c>
      <c r="K1271" s="6">
        <f t="shared" si="36"/>
        <v>3.1116616450455076E-2</v>
      </c>
    </row>
    <row r="1272" spans="1:11" x14ac:dyDescent="0.2">
      <c r="A1272" t="s">
        <v>1039</v>
      </c>
      <c r="B1272">
        <v>2018</v>
      </c>
      <c r="C1272" s="8" t="s">
        <v>1039</v>
      </c>
      <c r="D1272" t="s">
        <v>1065</v>
      </c>
      <c r="E1272" s="12">
        <f>((14226*(0.95))/(72671+74561+179071+14226+60628+90078+45370))</f>
        <v>2.5185564800924327E-2</v>
      </c>
      <c r="F1272" s="12"/>
      <c r="G1272" s="12"/>
      <c r="H1272" s="12"/>
      <c r="I1272" s="7" t="s">
        <v>1058</v>
      </c>
      <c r="J1272" s="7" t="s">
        <v>1042</v>
      </c>
      <c r="K1272" s="6">
        <f t="shared" si="36"/>
        <v>2.5185564800924327E-2</v>
      </c>
    </row>
    <row r="1273" spans="1:11" x14ac:dyDescent="0.2">
      <c r="A1273" t="s">
        <v>1039</v>
      </c>
      <c r="B1273">
        <v>2018</v>
      </c>
      <c r="C1273" t="s">
        <v>1065</v>
      </c>
      <c r="D1273" t="s">
        <v>1065</v>
      </c>
      <c r="E1273" s="12">
        <f>((14226*(0.95))/(72671+74561+179071+14226+60628+90078+45370))</f>
        <v>2.5185564800924327E-2</v>
      </c>
      <c r="F1273" s="12"/>
      <c r="G1273" s="12"/>
      <c r="H1273" s="12"/>
      <c r="I1273" s="7" t="s">
        <v>1058</v>
      </c>
      <c r="J1273" s="7" t="s">
        <v>1042</v>
      </c>
      <c r="K1273" s="6">
        <f t="shared" si="36"/>
        <v>2.5185564800924327E-2</v>
      </c>
    </row>
    <row r="1274" spans="1:11" x14ac:dyDescent="0.2">
      <c r="A1274" s="9" t="s">
        <v>1039</v>
      </c>
      <c r="B1274" s="9">
        <v>2019</v>
      </c>
      <c r="C1274" s="9" t="s">
        <v>1065</v>
      </c>
      <c r="D1274" s="9" t="s">
        <v>1065</v>
      </c>
      <c r="E1274" s="13">
        <f>((14226*(0.95))/(72671+74561+179071+14226+60628+90078+45370))</f>
        <v>2.5185564800924327E-2</v>
      </c>
      <c r="F1274" s="13"/>
      <c r="G1274" s="13"/>
      <c r="H1274" s="13"/>
      <c r="I1274" s="10" t="s">
        <v>1058</v>
      </c>
      <c r="J1274" s="10" t="s">
        <v>1042</v>
      </c>
      <c r="K1274" s="6">
        <f t="shared" si="36"/>
        <v>2.5185564800924327E-2</v>
      </c>
    </row>
    <row r="1275" spans="1:11" x14ac:dyDescent="0.2">
      <c r="A1275" s="8" t="s">
        <v>1039</v>
      </c>
      <c r="B1275">
        <v>2010</v>
      </c>
      <c r="C1275" s="8" t="s">
        <v>1039</v>
      </c>
      <c r="D1275" t="s">
        <v>1066</v>
      </c>
      <c r="E1275" s="11">
        <f>(134463.45*((24575*(95/100))/(106628+92295+136062+14883+24575+39615+125805)))/1229109.195675</f>
        <v>4.7309390196320225E-3</v>
      </c>
      <c r="I1275" s="5" t="s">
        <v>1067</v>
      </c>
      <c r="J1275" s="5" t="s">
        <v>1068</v>
      </c>
      <c r="K1275" s="6">
        <f t="shared" si="36"/>
        <v>4.7309390196320225E-3</v>
      </c>
    </row>
    <row r="1276" spans="1:11" x14ac:dyDescent="0.2">
      <c r="A1276" s="8" t="s">
        <v>1039</v>
      </c>
      <c r="B1276">
        <v>2012</v>
      </c>
      <c r="C1276" s="8" t="s">
        <v>1039</v>
      </c>
      <c r="D1276" t="s">
        <v>1066</v>
      </c>
      <c r="E1276" s="11">
        <f>(154302.32*((24575*(0.95))/(106628+92295+136062+14883+24575+39615+125805)))/1629511.031181</f>
        <v>4.094951092193269E-3</v>
      </c>
      <c r="F1276" s="11"/>
      <c r="G1276" s="11"/>
      <c r="H1276" s="11"/>
      <c r="I1276" s="5" t="s">
        <v>1067</v>
      </c>
      <c r="J1276" s="5" t="s">
        <v>1069</v>
      </c>
      <c r="K1276" s="6">
        <f t="shared" si="36"/>
        <v>4.094951092193269E-3</v>
      </c>
    </row>
    <row r="1277" spans="1:11" x14ac:dyDescent="0.2">
      <c r="A1277" s="8" t="s">
        <v>1039</v>
      </c>
      <c r="B1277">
        <v>2013</v>
      </c>
      <c r="C1277" s="8" t="s">
        <v>1039</v>
      </c>
      <c r="D1277" t="s">
        <v>1066</v>
      </c>
      <c r="E1277" s="11">
        <f>(173590.11*((12911*(95/100))/(72967+75961+130532+15999+13142+42168+72366)))/1801721.573595</f>
        <v>2.7928128633838132E-3</v>
      </c>
      <c r="F1277" s="11"/>
      <c r="G1277" s="11"/>
      <c r="H1277" s="11"/>
      <c r="I1277" s="5" t="s">
        <v>1067</v>
      </c>
      <c r="J1277" s="5" t="s">
        <v>1069</v>
      </c>
      <c r="K1277" s="6">
        <f t="shared" si="36"/>
        <v>2.7928128633838132E-3</v>
      </c>
    </row>
    <row r="1278" spans="1:11" x14ac:dyDescent="0.2">
      <c r="A1278" s="8" t="s">
        <v>1039</v>
      </c>
      <c r="B1278">
        <v>2014</v>
      </c>
      <c r="C1278" s="8" t="s">
        <v>1039</v>
      </c>
      <c r="D1278" t="s">
        <v>1066</v>
      </c>
      <c r="E1278" s="11">
        <f>(((123130.69+256799.07))*(12911*(95/100))/(72967+75961+130532+15999+13142+42168+72366))/926085.218146</f>
        <v>1.18920546851138E-2</v>
      </c>
      <c r="F1278" s="11"/>
      <c r="G1278" s="11"/>
      <c r="H1278" s="11"/>
      <c r="I1278" s="5" t="s">
        <v>1067</v>
      </c>
      <c r="J1278" s="5" t="s">
        <v>1070</v>
      </c>
      <c r="K1278" s="6">
        <f t="shared" si="36"/>
        <v>1.18920546851138E-2</v>
      </c>
    </row>
    <row r="1279" spans="1:11" x14ac:dyDescent="0.2">
      <c r="A1279" s="8" t="s">
        <v>1039</v>
      </c>
      <c r="B1279">
        <v>2015</v>
      </c>
      <c r="C1279" s="8" t="s">
        <v>1039</v>
      </c>
      <c r="D1279" t="s">
        <v>1066</v>
      </c>
      <c r="E1279" s="11">
        <f>(((117900.59+259644.26))*(12911*(95/100))/(72967+75961+130532+15999+13142+42168+72366))/868928.794353</f>
        <v>1.2594731053562503E-2</v>
      </c>
      <c r="F1279" s="11"/>
      <c r="G1279" s="11"/>
      <c r="H1279" s="11"/>
      <c r="I1279" s="5" t="s">
        <v>1067</v>
      </c>
      <c r="J1279" s="5" t="s">
        <v>1070</v>
      </c>
      <c r="K1279" s="6">
        <f t="shared" si="36"/>
        <v>1.2594731053562503E-2</v>
      </c>
    </row>
    <row r="1280" spans="1:11" x14ac:dyDescent="0.2">
      <c r="A1280" s="8" t="s">
        <v>1039</v>
      </c>
      <c r="B1280">
        <v>2016</v>
      </c>
      <c r="C1280" s="8" t="s">
        <v>1039</v>
      </c>
      <c r="D1280" t="s">
        <v>1066</v>
      </c>
      <c r="E1280" s="22">
        <f>(48121520000*(((15687*(0.95))/(73828+77364+156873+15687+49549+64848+40780))))/2232331083355</f>
        <v>6.7076917578125206E-4</v>
      </c>
      <c r="F1280" s="11"/>
      <c r="G1280" s="11"/>
      <c r="H1280" s="11"/>
      <c r="I1280" s="5" t="s">
        <v>1067</v>
      </c>
      <c r="J1280" s="5" t="s">
        <v>1071</v>
      </c>
      <c r="K1280" s="6">
        <f t="shared" si="36"/>
        <v>6.7076917578125206E-4</v>
      </c>
    </row>
    <row r="1281" spans="1:13" x14ac:dyDescent="0.2">
      <c r="A1281" s="8" t="s">
        <v>1039</v>
      </c>
      <c r="B1281">
        <v>2017</v>
      </c>
      <c r="C1281" s="8" t="s">
        <v>1039</v>
      </c>
      <c r="D1281" t="s">
        <v>1066</v>
      </c>
      <c r="E1281" s="22">
        <f>(48121520000*(((15687*(0.95))/(73828+77364+156873+15687+49549+64848+40780))))/2232314156996</f>
        <v>6.7077426183952029E-4</v>
      </c>
      <c r="F1281" s="11"/>
      <c r="G1281" s="11"/>
      <c r="H1281" s="11"/>
      <c r="I1281" s="5" t="s">
        <v>1067</v>
      </c>
      <c r="J1281" s="5" t="s">
        <v>1071</v>
      </c>
      <c r="K1281" s="6">
        <f t="shared" si="36"/>
        <v>6.7077426183952029E-4</v>
      </c>
      <c r="M1281" t="s">
        <v>69</v>
      </c>
    </row>
    <row r="1282" spans="1:13" x14ac:dyDescent="0.2">
      <c r="A1282" s="8" t="s">
        <v>1039</v>
      </c>
      <c r="B1282">
        <v>2018</v>
      </c>
      <c r="C1282" s="8" t="s">
        <v>1039</v>
      </c>
      <c r="D1282" t="s">
        <v>1066</v>
      </c>
      <c r="E1282" s="23">
        <f t="shared" ref="E1282:E1291" si="39">((144310.01+324945.33)*(((14226*(0.95))/(72671+74561+179071+14226+60628+90078+45370))))/2355483.87212</f>
        <v>5.0174237716655821E-3</v>
      </c>
      <c r="F1282" s="12"/>
      <c r="G1282" s="12"/>
      <c r="H1282" s="12"/>
      <c r="I1282" s="7" t="s">
        <v>1067</v>
      </c>
      <c r="J1282" s="7" t="s">
        <v>1072</v>
      </c>
      <c r="K1282" s="6">
        <f t="shared" ref="K1282:K1345" si="40">SUM(E1282:H1282)</f>
        <v>5.0174237716655821E-3</v>
      </c>
      <c r="M1282" t="s">
        <v>69</v>
      </c>
    </row>
    <row r="1283" spans="1:13" x14ac:dyDescent="0.2">
      <c r="A1283" t="s">
        <v>1039</v>
      </c>
      <c r="B1283">
        <v>2018</v>
      </c>
      <c r="C1283" s="8" t="s">
        <v>1039</v>
      </c>
      <c r="D1283" t="s">
        <v>1066</v>
      </c>
      <c r="E1283" s="23">
        <f t="shared" si="39"/>
        <v>5.0174237716655821E-3</v>
      </c>
      <c r="F1283" s="12"/>
      <c r="G1283" s="12"/>
      <c r="H1283" s="12"/>
      <c r="I1283" s="7" t="s">
        <v>1067</v>
      </c>
      <c r="J1283" s="7" t="s">
        <v>1072</v>
      </c>
      <c r="K1283" s="6">
        <f t="shared" si="40"/>
        <v>5.0174237716655821E-3</v>
      </c>
      <c r="M1283" t="s">
        <v>69</v>
      </c>
    </row>
    <row r="1284" spans="1:13" x14ac:dyDescent="0.2">
      <c r="A1284" t="s">
        <v>1039</v>
      </c>
      <c r="B1284">
        <v>2018</v>
      </c>
      <c r="C1284" t="s">
        <v>1066</v>
      </c>
      <c r="D1284" t="s">
        <v>1066</v>
      </c>
      <c r="E1284" s="23">
        <f t="shared" si="39"/>
        <v>5.0174237716655821E-3</v>
      </c>
      <c r="F1284" s="12"/>
      <c r="G1284" s="12"/>
      <c r="H1284" s="12"/>
      <c r="I1284" s="7" t="s">
        <v>1067</v>
      </c>
      <c r="J1284" s="7" t="s">
        <v>1072</v>
      </c>
      <c r="K1284" s="6">
        <f t="shared" si="40"/>
        <v>5.0174237716655821E-3</v>
      </c>
      <c r="M1284" t="s">
        <v>69</v>
      </c>
    </row>
    <row r="1285" spans="1:13" x14ac:dyDescent="0.2">
      <c r="A1285" s="9" t="s">
        <v>1039</v>
      </c>
      <c r="B1285" s="9">
        <v>2019</v>
      </c>
      <c r="C1285" s="9" t="s">
        <v>1066</v>
      </c>
      <c r="D1285" s="9" t="s">
        <v>1066</v>
      </c>
      <c r="E1285" s="24">
        <f t="shared" si="39"/>
        <v>5.0174237716655821E-3</v>
      </c>
      <c r="F1285" s="13"/>
      <c r="G1285" s="13"/>
      <c r="H1285" s="13"/>
      <c r="I1285" s="10" t="s">
        <v>1067</v>
      </c>
      <c r="J1285" s="10" t="s">
        <v>1072</v>
      </c>
      <c r="K1285" s="6">
        <f t="shared" si="40"/>
        <v>5.0174237716655821E-3</v>
      </c>
      <c r="M1285" t="s">
        <v>69</v>
      </c>
    </row>
    <row r="1286" spans="1:13" x14ac:dyDescent="0.2">
      <c r="A1286" s="8" t="s">
        <v>1039</v>
      </c>
      <c r="B1286">
        <v>2018</v>
      </c>
      <c r="C1286" s="8" t="s">
        <v>1039</v>
      </c>
      <c r="D1286" t="s">
        <v>1073</v>
      </c>
      <c r="E1286" s="23">
        <f t="shared" si="39"/>
        <v>5.0174237716655821E-3</v>
      </c>
      <c r="F1286" s="12"/>
      <c r="G1286" s="12"/>
      <c r="H1286" s="12"/>
      <c r="I1286" s="7" t="s">
        <v>1067</v>
      </c>
      <c r="J1286" s="7" t="s">
        <v>1072</v>
      </c>
      <c r="K1286" s="6">
        <f t="shared" si="40"/>
        <v>5.0174237716655821E-3</v>
      </c>
      <c r="M1286" t="s">
        <v>69</v>
      </c>
    </row>
    <row r="1287" spans="1:13" x14ac:dyDescent="0.2">
      <c r="A1287" t="s">
        <v>1039</v>
      </c>
      <c r="B1287">
        <v>2018</v>
      </c>
      <c r="C1287" t="s">
        <v>1073</v>
      </c>
      <c r="D1287" t="s">
        <v>1073</v>
      </c>
      <c r="E1287" s="23">
        <f t="shared" si="39"/>
        <v>5.0174237716655821E-3</v>
      </c>
      <c r="F1287" s="12"/>
      <c r="G1287" s="12"/>
      <c r="H1287" s="12"/>
      <c r="I1287" s="7" t="s">
        <v>1067</v>
      </c>
      <c r="J1287" s="7" t="s">
        <v>1072</v>
      </c>
      <c r="K1287" s="6">
        <f t="shared" si="40"/>
        <v>5.0174237716655821E-3</v>
      </c>
      <c r="M1287" t="s">
        <v>69</v>
      </c>
    </row>
    <row r="1288" spans="1:13" x14ac:dyDescent="0.2">
      <c r="A1288" s="9" t="s">
        <v>1039</v>
      </c>
      <c r="B1288" s="9">
        <v>2019</v>
      </c>
      <c r="C1288" s="9" t="s">
        <v>1073</v>
      </c>
      <c r="D1288" s="9" t="s">
        <v>1073</v>
      </c>
      <c r="E1288" s="24">
        <f t="shared" si="39"/>
        <v>5.0174237716655821E-3</v>
      </c>
      <c r="F1288" s="13"/>
      <c r="G1288" s="13"/>
      <c r="H1288" s="13"/>
      <c r="I1288" s="10" t="s">
        <v>1067</v>
      </c>
      <c r="J1288" s="10" t="s">
        <v>1072</v>
      </c>
      <c r="K1288" s="6">
        <f t="shared" si="40"/>
        <v>5.0174237716655821E-3</v>
      </c>
    </row>
    <row r="1289" spans="1:13" x14ac:dyDescent="0.2">
      <c r="A1289" s="8" t="s">
        <v>1039</v>
      </c>
      <c r="B1289">
        <v>2018</v>
      </c>
      <c r="C1289" s="8" t="s">
        <v>1039</v>
      </c>
      <c r="D1289" t="s">
        <v>1074</v>
      </c>
      <c r="E1289" s="23">
        <f t="shared" si="39"/>
        <v>5.0174237716655821E-3</v>
      </c>
      <c r="F1289" s="12"/>
      <c r="G1289" s="12"/>
      <c r="H1289" s="12"/>
      <c r="I1289" s="7" t="s">
        <v>1067</v>
      </c>
      <c r="J1289" s="7" t="s">
        <v>1072</v>
      </c>
      <c r="K1289" s="6">
        <f t="shared" si="40"/>
        <v>5.0174237716655821E-3</v>
      </c>
    </row>
    <row r="1290" spans="1:13" x14ac:dyDescent="0.2">
      <c r="A1290" t="s">
        <v>1039</v>
      </c>
      <c r="B1290">
        <v>2018</v>
      </c>
      <c r="C1290" t="s">
        <v>1074</v>
      </c>
      <c r="D1290" t="s">
        <v>1074</v>
      </c>
      <c r="E1290" s="23">
        <f t="shared" si="39"/>
        <v>5.0174237716655821E-3</v>
      </c>
      <c r="F1290" s="12"/>
      <c r="G1290" s="12"/>
      <c r="H1290" s="12"/>
      <c r="I1290" s="7" t="s">
        <v>1067</v>
      </c>
      <c r="J1290" s="7" t="s">
        <v>1072</v>
      </c>
      <c r="K1290" s="6">
        <f t="shared" si="40"/>
        <v>5.0174237716655821E-3</v>
      </c>
    </row>
    <row r="1291" spans="1:13" x14ac:dyDescent="0.2">
      <c r="A1291" s="9" t="s">
        <v>1039</v>
      </c>
      <c r="B1291" s="9">
        <v>2019</v>
      </c>
      <c r="C1291" s="9" t="s">
        <v>1074</v>
      </c>
      <c r="D1291" s="9" t="s">
        <v>1074</v>
      </c>
      <c r="E1291" s="24">
        <f t="shared" si="39"/>
        <v>5.0174237716655821E-3</v>
      </c>
      <c r="F1291" s="13"/>
      <c r="G1291" s="13"/>
      <c r="H1291" s="13"/>
      <c r="I1291" s="10" t="s">
        <v>1067</v>
      </c>
      <c r="J1291" s="10" t="s">
        <v>1072</v>
      </c>
      <c r="K1291" s="6">
        <f t="shared" si="40"/>
        <v>5.0174237716655821E-3</v>
      </c>
    </row>
    <row r="1292" spans="1:13" x14ac:dyDescent="0.2">
      <c r="A1292" s="8" t="s">
        <v>1039</v>
      </c>
      <c r="B1292">
        <v>2015</v>
      </c>
      <c r="C1292" s="8" t="s">
        <v>1039</v>
      </c>
      <c r="D1292" t="s">
        <v>1075</v>
      </c>
      <c r="E1292" s="12">
        <f>(((117900.59+259644.26))*(12911*(95/100))/(72967+75961+130532+15999+13142+42168+72366))/868928.794353</f>
        <v>1.2594731053562503E-2</v>
      </c>
      <c r="F1292" s="12"/>
      <c r="G1292" s="12"/>
      <c r="H1292" s="12"/>
      <c r="I1292" s="7" t="s">
        <v>1067</v>
      </c>
      <c r="J1292" s="7" t="s">
        <v>1070</v>
      </c>
      <c r="K1292" s="6">
        <f t="shared" si="40"/>
        <v>1.2594731053562503E-2</v>
      </c>
    </row>
    <row r="1293" spans="1:13" x14ac:dyDescent="0.2">
      <c r="A1293" s="8" t="s">
        <v>1039</v>
      </c>
      <c r="B1293">
        <v>2017</v>
      </c>
      <c r="C1293" s="8" t="s">
        <v>1039</v>
      </c>
      <c r="D1293" t="s">
        <v>1075</v>
      </c>
      <c r="E1293" s="23">
        <f>(48121520000*(((15687*(0.95))/(73828+77364+156873+15687+49549+64848+40780))))/2232314156996</f>
        <v>6.7077426183952029E-4</v>
      </c>
      <c r="F1293" s="12"/>
      <c r="G1293" s="12"/>
      <c r="H1293" s="12"/>
      <c r="I1293" s="7" t="s">
        <v>1067</v>
      </c>
      <c r="J1293" s="7" t="s">
        <v>1071</v>
      </c>
      <c r="K1293" s="6">
        <f t="shared" si="40"/>
        <v>6.7077426183952029E-4</v>
      </c>
    </row>
    <row r="1294" spans="1:13" x14ac:dyDescent="0.2">
      <c r="A1294" s="8" t="s">
        <v>1039</v>
      </c>
      <c r="B1294">
        <v>2018</v>
      </c>
      <c r="C1294" s="8" t="s">
        <v>1039</v>
      </c>
      <c r="D1294" t="s">
        <v>1075</v>
      </c>
      <c r="E1294" s="23">
        <f>(48121520000*(((15687*(0.95))/(73828+77364+156873+15687+49549+64848+40780))))/2232314156996</f>
        <v>6.7077426183952029E-4</v>
      </c>
      <c r="F1294" s="12"/>
      <c r="G1294" s="12"/>
      <c r="H1294" s="12"/>
      <c r="I1294" s="7" t="s">
        <v>1067</v>
      </c>
      <c r="J1294" s="7" t="s">
        <v>1071</v>
      </c>
      <c r="K1294" s="6">
        <f t="shared" si="40"/>
        <v>6.7077426183952029E-4</v>
      </c>
    </row>
    <row r="1295" spans="1:13" x14ac:dyDescent="0.2">
      <c r="A1295" s="8" t="s">
        <v>1039</v>
      </c>
      <c r="B1295">
        <v>2018</v>
      </c>
      <c r="C1295" s="8" t="s">
        <v>1039</v>
      </c>
      <c r="D1295" t="s">
        <v>1076</v>
      </c>
      <c r="E1295" s="23">
        <f>(48121520000*(((15687*(0.95))/(73828+77364+156873+15687+49549+64848+40780))))/2232314156996</f>
        <v>6.7077426183952029E-4</v>
      </c>
      <c r="F1295" s="12"/>
      <c r="G1295" s="12"/>
      <c r="H1295" s="12"/>
      <c r="I1295" s="7" t="s">
        <v>1067</v>
      </c>
      <c r="J1295" s="7" t="s">
        <v>1071</v>
      </c>
      <c r="K1295" s="6">
        <f t="shared" si="40"/>
        <v>6.7077426183952029E-4</v>
      </c>
    </row>
    <row r="1296" spans="1:13" x14ac:dyDescent="0.2">
      <c r="A1296" t="s">
        <v>1039</v>
      </c>
      <c r="B1296">
        <v>2018</v>
      </c>
      <c r="C1296" s="8" t="s">
        <v>1039</v>
      </c>
      <c r="D1296" t="s">
        <v>1076</v>
      </c>
      <c r="E1296" s="23">
        <f>((144310.01+324945.33)*(((14226*(0.95))/(72671+74561+179071+14226+60628+90078+45370))))/2355483.87212</f>
        <v>5.0174237716655821E-3</v>
      </c>
      <c r="F1296" s="12"/>
      <c r="G1296" s="12"/>
      <c r="H1296" s="12"/>
      <c r="I1296" s="7" t="s">
        <v>1067</v>
      </c>
      <c r="J1296" s="7" t="s">
        <v>1072</v>
      </c>
      <c r="K1296" s="6">
        <f t="shared" si="40"/>
        <v>5.0174237716655821E-3</v>
      </c>
    </row>
    <row r="1297" spans="1:11" x14ac:dyDescent="0.2">
      <c r="A1297" s="8" t="s">
        <v>1039</v>
      </c>
      <c r="B1297">
        <v>2015</v>
      </c>
      <c r="C1297" s="8" t="s">
        <v>1039</v>
      </c>
      <c r="D1297" t="s">
        <v>1077</v>
      </c>
      <c r="E1297" s="12">
        <f>(((117900.59+259644.26))*(12911*(95/100))/(72967+75961+130532+15999+13142+42168+72366))/868928.794353</f>
        <v>1.2594731053562503E-2</v>
      </c>
      <c r="F1297" s="12"/>
      <c r="G1297" s="12"/>
      <c r="H1297" s="12"/>
      <c r="I1297" s="7" t="s">
        <v>1067</v>
      </c>
      <c r="J1297" s="7" t="s">
        <v>1070</v>
      </c>
      <c r="K1297" s="6">
        <f t="shared" si="40"/>
        <v>1.2594731053562503E-2</v>
      </c>
    </row>
    <row r="1298" spans="1:11" x14ac:dyDescent="0.2">
      <c r="A1298" s="8" t="s">
        <v>1039</v>
      </c>
      <c r="B1298">
        <v>2016</v>
      </c>
      <c r="C1298" s="8" t="s">
        <v>1039</v>
      </c>
      <c r="D1298" t="s">
        <v>1077</v>
      </c>
      <c r="E1298" s="23">
        <f>(48121520000*(((15687*(0.95))/(73828+77364+156873+15687+49549+64848+40780))))/2232331083355</f>
        <v>6.7076917578125206E-4</v>
      </c>
      <c r="F1298" s="12"/>
      <c r="G1298" s="12"/>
      <c r="H1298" s="12"/>
      <c r="I1298" s="7" t="s">
        <v>1067</v>
      </c>
      <c r="J1298" s="7" t="s">
        <v>1071</v>
      </c>
      <c r="K1298" s="6">
        <f t="shared" si="40"/>
        <v>6.7076917578125206E-4</v>
      </c>
    </row>
    <row r="1299" spans="1:11" x14ac:dyDescent="0.2">
      <c r="A1299" s="8" t="s">
        <v>1039</v>
      </c>
      <c r="B1299">
        <v>2017</v>
      </c>
      <c r="C1299" s="8" t="s">
        <v>1039</v>
      </c>
      <c r="D1299" t="s">
        <v>1077</v>
      </c>
      <c r="E1299" s="23">
        <f>(48121520000*(((15687*(0.95))/(73828+77364+156873+15687+49549+64848+40780))))/2232314156996</f>
        <v>6.7077426183952029E-4</v>
      </c>
      <c r="F1299" s="12"/>
      <c r="G1299" s="12"/>
      <c r="H1299" s="12"/>
      <c r="I1299" s="7" t="s">
        <v>1067</v>
      </c>
      <c r="J1299" s="7" t="s">
        <v>1071</v>
      </c>
      <c r="K1299" s="6">
        <f t="shared" si="40"/>
        <v>6.7077426183952029E-4</v>
      </c>
    </row>
    <row r="1300" spans="1:11" x14ac:dyDescent="0.2">
      <c r="A1300" s="8" t="s">
        <v>1039</v>
      </c>
      <c r="B1300">
        <v>2018</v>
      </c>
      <c r="C1300" s="8" t="s">
        <v>1039</v>
      </c>
      <c r="D1300" t="s">
        <v>1077</v>
      </c>
      <c r="E1300" s="23">
        <f>(48121520000*(((15687*(0.95))/(73828+77364+156873+15687+49549+64848+40780))))/2232314156996</f>
        <v>6.7077426183952029E-4</v>
      </c>
      <c r="F1300" s="12"/>
      <c r="G1300" s="12"/>
      <c r="H1300" s="12"/>
      <c r="I1300" s="7" t="s">
        <v>1067</v>
      </c>
      <c r="J1300" s="7" t="s">
        <v>1071</v>
      </c>
      <c r="K1300" s="6">
        <f t="shared" si="40"/>
        <v>6.7077426183952029E-4</v>
      </c>
    </row>
    <row r="1301" spans="1:11" x14ac:dyDescent="0.2">
      <c r="A1301" t="s">
        <v>1039</v>
      </c>
      <c r="B1301">
        <v>2018</v>
      </c>
      <c r="C1301" s="8" t="s">
        <v>1039</v>
      </c>
      <c r="D1301" t="s">
        <v>1077</v>
      </c>
      <c r="E1301" s="23">
        <f>((144310.01+324945.33)*(((14226*(0.95))/(72671+74561+179071+14226+60628+90078+45370))))/2355483.87212</f>
        <v>5.0174237716655821E-3</v>
      </c>
      <c r="F1301" s="12"/>
      <c r="G1301" s="12"/>
      <c r="H1301" s="12"/>
      <c r="I1301" s="7" t="s">
        <v>1067</v>
      </c>
      <c r="J1301" s="7" t="s">
        <v>1072</v>
      </c>
      <c r="K1301" s="6">
        <f t="shared" si="40"/>
        <v>5.0174237716655821E-3</v>
      </c>
    </row>
    <row r="1302" spans="1:11" x14ac:dyDescent="0.2">
      <c r="A1302" t="s">
        <v>1078</v>
      </c>
      <c r="B1302">
        <v>2017</v>
      </c>
      <c r="C1302" s="8" t="s">
        <v>1078</v>
      </c>
      <c r="D1302" s="8" t="s">
        <v>1079</v>
      </c>
      <c r="E1302" s="7">
        <v>1</v>
      </c>
      <c r="F1302" s="7"/>
      <c r="G1302" s="7"/>
      <c r="H1302" s="7"/>
      <c r="I1302" s="7" t="s">
        <v>1080</v>
      </c>
      <c r="J1302" t="s">
        <v>1081</v>
      </c>
      <c r="K1302" s="6">
        <f t="shared" si="40"/>
        <v>1</v>
      </c>
    </row>
    <row r="1303" spans="1:11" x14ac:dyDescent="0.2">
      <c r="A1303" s="9" t="s">
        <v>1078</v>
      </c>
      <c r="B1303" s="9">
        <v>2019</v>
      </c>
      <c r="C1303" s="9" t="s">
        <v>1082</v>
      </c>
      <c r="D1303" s="9" t="s">
        <v>1082</v>
      </c>
      <c r="E1303" s="10">
        <f>747424/1938549</f>
        <v>0.38555847698459</v>
      </c>
      <c r="F1303" s="10"/>
      <c r="G1303" s="10"/>
      <c r="H1303" s="10"/>
      <c r="I1303" s="9" t="s">
        <v>1083</v>
      </c>
      <c r="J1303" s="9" t="s">
        <v>1084</v>
      </c>
      <c r="K1303" s="6">
        <f t="shared" si="40"/>
        <v>0.38555847698459</v>
      </c>
    </row>
    <row r="1304" spans="1:11" x14ac:dyDescent="0.2">
      <c r="A1304" s="9" t="s">
        <v>1078</v>
      </c>
      <c r="B1304" s="9">
        <v>2019</v>
      </c>
      <c r="C1304" s="9" t="s">
        <v>1082</v>
      </c>
      <c r="D1304" s="9" t="s">
        <v>1082</v>
      </c>
      <c r="E1304" s="10">
        <f>747424/1938549</f>
        <v>0.38555847698459</v>
      </c>
      <c r="F1304" s="10"/>
      <c r="G1304" s="10"/>
      <c r="H1304" s="10"/>
      <c r="I1304" s="9" t="s">
        <v>1083</v>
      </c>
      <c r="J1304" s="9" t="s">
        <v>1084</v>
      </c>
      <c r="K1304" s="6">
        <f t="shared" si="40"/>
        <v>0.38555847698459</v>
      </c>
    </row>
    <row r="1305" spans="1:11" x14ac:dyDescent="0.2">
      <c r="A1305" t="s">
        <v>1078</v>
      </c>
      <c r="B1305">
        <v>2013</v>
      </c>
      <c r="C1305" t="s">
        <v>1085</v>
      </c>
      <c r="D1305" t="s">
        <v>1086</v>
      </c>
      <c r="E1305" s="5">
        <v>0</v>
      </c>
      <c r="I1305" t="s">
        <v>1087</v>
      </c>
      <c r="J1305" t="s">
        <v>1088</v>
      </c>
      <c r="K1305" s="6">
        <f t="shared" si="40"/>
        <v>0</v>
      </c>
    </row>
    <row r="1306" spans="1:11" x14ac:dyDescent="0.2">
      <c r="A1306" t="s">
        <v>1078</v>
      </c>
      <c r="B1306">
        <v>2013</v>
      </c>
      <c r="C1306" t="s">
        <v>1085</v>
      </c>
      <c r="D1306" t="s">
        <v>1086</v>
      </c>
      <c r="E1306" s="5">
        <v>0</v>
      </c>
      <c r="I1306" t="s">
        <v>1087</v>
      </c>
      <c r="K1306" s="6">
        <f t="shared" si="40"/>
        <v>0</v>
      </c>
    </row>
    <row r="1307" spans="1:11" x14ac:dyDescent="0.2">
      <c r="A1307" t="s">
        <v>1078</v>
      </c>
      <c r="B1307">
        <v>2013</v>
      </c>
      <c r="C1307" t="s">
        <v>1078</v>
      </c>
      <c r="D1307" t="s">
        <v>1078</v>
      </c>
      <c r="E1307" s="5">
        <v>0</v>
      </c>
      <c r="I1307" t="s">
        <v>1087</v>
      </c>
      <c r="J1307" t="s">
        <v>1088</v>
      </c>
      <c r="K1307" s="6">
        <f t="shared" si="40"/>
        <v>0</v>
      </c>
    </row>
    <row r="1308" spans="1:11" x14ac:dyDescent="0.2">
      <c r="A1308" t="s">
        <v>1078</v>
      </c>
      <c r="B1308">
        <v>2013</v>
      </c>
      <c r="C1308" t="s">
        <v>1085</v>
      </c>
      <c r="D1308" t="s">
        <v>1085</v>
      </c>
      <c r="E1308" s="5">
        <v>0</v>
      </c>
      <c r="I1308" t="s">
        <v>1087</v>
      </c>
      <c r="J1308" t="s">
        <v>1088</v>
      </c>
      <c r="K1308" s="6">
        <f t="shared" si="40"/>
        <v>0</v>
      </c>
    </row>
    <row r="1309" spans="1:11" x14ac:dyDescent="0.2">
      <c r="A1309" t="s">
        <v>1078</v>
      </c>
      <c r="B1309">
        <v>2013</v>
      </c>
      <c r="C1309" t="s">
        <v>1085</v>
      </c>
      <c r="D1309" t="s">
        <v>1085</v>
      </c>
      <c r="E1309" s="5">
        <v>0</v>
      </c>
      <c r="I1309" t="s">
        <v>1087</v>
      </c>
      <c r="K1309" s="6">
        <f t="shared" si="40"/>
        <v>0</v>
      </c>
    </row>
    <row r="1310" spans="1:11" x14ac:dyDescent="0.2">
      <c r="A1310" t="s">
        <v>1078</v>
      </c>
      <c r="B1310">
        <v>2015</v>
      </c>
      <c r="C1310" t="s">
        <v>1085</v>
      </c>
      <c r="D1310" t="s">
        <v>1085</v>
      </c>
      <c r="E1310" s="5">
        <v>0</v>
      </c>
      <c r="I1310" t="s">
        <v>1087</v>
      </c>
      <c r="J1310" t="s">
        <v>1088</v>
      </c>
      <c r="K1310" s="6">
        <f t="shared" si="40"/>
        <v>0</v>
      </c>
    </row>
    <row r="1311" spans="1:11" x14ac:dyDescent="0.2">
      <c r="A1311" t="s">
        <v>1078</v>
      </c>
      <c r="B1311">
        <v>2015</v>
      </c>
      <c r="C1311" t="s">
        <v>1085</v>
      </c>
      <c r="D1311" t="s">
        <v>1085</v>
      </c>
      <c r="E1311" s="5">
        <v>0</v>
      </c>
      <c r="I1311" t="s">
        <v>1087</v>
      </c>
      <c r="K1311" s="6">
        <f t="shared" si="40"/>
        <v>0</v>
      </c>
    </row>
    <row r="1312" spans="1:11" x14ac:dyDescent="0.2">
      <c r="A1312" t="s">
        <v>1078</v>
      </c>
      <c r="B1312">
        <v>2016</v>
      </c>
      <c r="C1312" t="s">
        <v>1085</v>
      </c>
      <c r="D1312" t="s">
        <v>1085</v>
      </c>
      <c r="E1312" s="5">
        <f>1251/1699</f>
        <v>0.73631547969393762</v>
      </c>
      <c r="I1312" t="s">
        <v>1089</v>
      </c>
      <c r="J1312" t="s">
        <v>1088</v>
      </c>
      <c r="K1312" s="6">
        <f t="shared" si="40"/>
        <v>0.73631547969393762</v>
      </c>
    </row>
    <row r="1313" spans="1:11" x14ac:dyDescent="0.2">
      <c r="A1313" t="s">
        <v>1078</v>
      </c>
      <c r="B1313">
        <v>2017</v>
      </c>
      <c r="C1313" t="s">
        <v>1085</v>
      </c>
      <c r="D1313" t="s">
        <v>1085</v>
      </c>
      <c r="E1313" s="7">
        <f>725096/918725</f>
        <v>0.78924161201665355</v>
      </c>
      <c r="F1313" s="7"/>
      <c r="G1313" s="7"/>
      <c r="H1313" s="7"/>
      <c r="I1313" t="s">
        <v>1090</v>
      </c>
      <c r="J1313" t="s">
        <v>1091</v>
      </c>
      <c r="K1313" s="6">
        <f t="shared" si="40"/>
        <v>0.78924161201665355</v>
      </c>
    </row>
    <row r="1314" spans="1:11" x14ac:dyDescent="0.2">
      <c r="A1314" s="8" t="s">
        <v>1078</v>
      </c>
      <c r="B1314">
        <v>2018</v>
      </c>
      <c r="C1314" s="8" t="s">
        <v>1078</v>
      </c>
      <c r="D1314" t="s">
        <v>1085</v>
      </c>
      <c r="E1314" s="7">
        <f>747424/1938549</f>
        <v>0.38555847698459</v>
      </c>
      <c r="F1314" s="7"/>
      <c r="G1314" s="7"/>
      <c r="H1314" s="7"/>
      <c r="I1314" t="s">
        <v>1090</v>
      </c>
      <c r="J1314" t="s">
        <v>1091</v>
      </c>
      <c r="K1314" s="6">
        <f t="shared" si="40"/>
        <v>0.38555847698459</v>
      </c>
    </row>
    <row r="1315" spans="1:11" x14ac:dyDescent="0.2">
      <c r="A1315" t="s">
        <v>1078</v>
      </c>
      <c r="B1315">
        <v>2018</v>
      </c>
      <c r="C1315" s="8" t="s">
        <v>1078</v>
      </c>
      <c r="D1315" t="s">
        <v>1085</v>
      </c>
      <c r="E1315" s="7">
        <f>747424/1938549</f>
        <v>0.38555847698459</v>
      </c>
      <c r="F1315" s="7"/>
      <c r="G1315" s="7"/>
      <c r="H1315" s="7"/>
      <c r="I1315" t="s">
        <v>1090</v>
      </c>
      <c r="J1315" t="s">
        <v>1091</v>
      </c>
      <c r="K1315" s="6">
        <f t="shared" si="40"/>
        <v>0.38555847698459</v>
      </c>
    </row>
    <row r="1316" spans="1:11" x14ac:dyDescent="0.2">
      <c r="A1316" s="9" t="s">
        <v>1078</v>
      </c>
      <c r="B1316" s="9">
        <v>2019</v>
      </c>
      <c r="C1316" s="9" t="s">
        <v>1085</v>
      </c>
      <c r="D1316" s="9" t="s">
        <v>1085</v>
      </c>
      <c r="E1316" s="10">
        <f>747424/1938549</f>
        <v>0.38555847698459</v>
      </c>
      <c r="F1316" s="10"/>
      <c r="G1316" s="10"/>
      <c r="H1316" s="10"/>
      <c r="I1316" s="9" t="s">
        <v>1090</v>
      </c>
      <c r="J1316" s="9" t="s">
        <v>1091</v>
      </c>
      <c r="K1316" s="6">
        <f t="shared" si="40"/>
        <v>0.38555847698459</v>
      </c>
    </row>
    <row r="1317" spans="1:11" x14ac:dyDescent="0.2">
      <c r="A1317" t="s">
        <v>1092</v>
      </c>
      <c r="B1317">
        <v>2011</v>
      </c>
      <c r="C1317" t="s">
        <v>1093</v>
      </c>
      <c r="D1317" t="s">
        <v>1093</v>
      </c>
      <c r="E1317" s="5">
        <f>60605/239075</f>
        <v>0.25349785632123811</v>
      </c>
      <c r="I1317" t="s">
        <v>1094</v>
      </c>
      <c r="J1317" t="s">
        <v>1095</v>
      </c>
      <c r="K1317" s="6">
        <f t="shared" si="40"/>
        <v>0.25349785632123811</v>
      </c>
    </row>
    <row r="1318" spans="1:11" x14ac:dyDescent="0.2">
      <c r="A1318" t="s">
        <v>1092</v>
      </c>
      <c r="B1318">
        <v>2014</v>
      </c>
      <c r="C1318" t="s">
        <v>1093</v>
      </c>
      <c r="D1318" t="s">
        <v>1093</v>
      </c>
      <c r="E1318" s="5">
        <f>3801/190973</f>
        <v>1.9903337120954271E-2</v>
      </c>
      <c r="I1318" t="s">
        <v>1094</v>
      </c>
      <c r="J1318" t="s">
        <v>1096</v>
      </c>
      <c r="K1318" s="6">
        <f t="shared" si="40"/>
        <v>1.9903337120954271E-2</v>
      </c>
    </row>
    <row r="1319" spans="1:11" x14ac:dyDescent="0.2">
      <c r="A1319" t="s">
        <v>1092</v>
      </c>
      <c r="B1319">
        <v>2015</v>
      </c>
      <c r="C1319" t="s">
        <v>1093</v>
      </c>
      <c r="D1319" t="s">
        <v>1093</v>
      </c>
      <c r="E1319" s="5">
        <f>14197/268616</f>
        <v>5.2852398963576255E-2</v>
      </c>
      <c r="I1319" t="s">
        <v>1094</v>
      </c>
      <c r="J1319" t="s">
        <v>1097</v>
      </c>
      <c r="K1319" s="6">
        <f t="shared" si="40"/>
        <v>5.2852398963576255E-2</v>
      </c>
    </row>
    <row r="1320" spans="1:11" x14ac:dyDescent="0.2">
      <c r="A1320" t="s">
        <v>1092</v>
      </c>
      <c r="B1320">
        <v>2016</v>
      </c>
      <c r="C1320" t="s">
        <v>1093</v>
      </c>
      <c r="D1320" t="s">
        <v>1093</v>
      </c>
      <c r="E1320" s="5">
        <f>26872/258629</f>
        <v>0.10390172795780829</v>
      </c>
      <c r="I1320" t="s">
        <v>1094</v>
      </c>
      <c r="J1320" t="s">
        <v>1097</v>
      </c>
      <c r="K1320" s="6">
        <f t="shared" si="40"/>
        <v>0.10390172795780829</v>
      </c>
    </row>
    <row r="1321" spans="1:11" x14ac:dyDescent="0.2">
      <c r="A1321" t="s">
        <v>1092</v>
      </c>
      <c r="B1321">
        <v>2017</v>
      </c>
      <c r="C1321" t="s">
        <v>1093</v>
      </c>
      <c r="D1321" t="s">
        <v>1093</v>
      </c>
      <c r="E1321" s="5">
        <f>24559/323137</f>
        <v>7.6001819661629583E-2</v>
      </c>
      <c r="I1321" t="s">
        <v>1094</v>
      </c>
      <c r="J1321" t="s">
        <v>1098</v>
      </c>
      <c r="K1321" s="6">
        <f t="shared" si="40"/>
        <v>7.6001819661629583E-2</v>
      </c>
    </row>
    <row r="1322" spans="1:11" x14ac:dyDescent="0.2">
      <c r="A1322" s="8" t="s">
        <v>1092</v>
      </c>
      <c r="B1322">
        <v>2018</v>
      </c>
      <c r="C1322" s="8" t="s">
        <v>1092</v>
      </c>
      <c r="D1322" t="s">
        <v>1093</v>
      </c>
      <c r="E1322" s="11">
        <f>18530/340902</f>
        <v>5.4355797267249824E-2</v>
      </c>
      <c r="I1322" t="s">
        <v>1094</v>
      </c>
      <c r="J1322" t="s">
        <v>1098</v>
      </c>
      <c r="K1322" s="6">
        <f t="shared" si="40"/>
        <v>5.4355797267249824E-2</v>
      </c>
    </row>
    <row r="1323" spans="1:11" x14ac:dyDescent="0.2">
      <c r="A1323" t="s">
        <v>1092</v>
      </c>
      <c r="B1323">
        <v>2018</v>
      </c>
      <c r="C1323" s="8" t="s">
        <v>1092</v>
      </c>
      <c r="D1323" t="s">
        <v>1093</v>
      </c>
      <c r="E1323" s="11">
        <f>18530/340902</f>
        <v>5.4355797267249824E-2</v>
      </c>
      <c r="I1323" t="s">
        <v>1094</v>
      </c>
      <c r="J1323" t="s">
        <v>1098</v>
      </c>
      <c r="K1323" s="6">
        <f t="shared" si="40"/>
        <v>5.4355797267249824E-2</v>
      </c>
    </row>
    <row r="1324" spans="1:11" x14ac:dyDescent="0.2">
      <c r="A1324" t="s">
        <v>1092</v>
      </c>
      <c r="B1324">
        <v>2018</v>
      </c>
      <c r="C1324" t="s">
        <v>1099</v>
      </c>
      <c r="D1324" t="s">
        <v>1099</v>
      </c>
      <c r="E1324" s="11">
        <f>18530/340902</f>
        <v>5.4355797267249824E-2</v>
      </c>
      <c r="I1324" t="s">
        <v>1094</v>
      </c>
      <c r="J1324" t="s">
        <v>1098</v>
      </c>
      <c r="K1324" s="6">
        <f t="shared" si="40"/>
        <v>5.4355797267249824E-2</v>
      </c>
    </row>
    <row r="1325" spans="1:11" x14ac:dyDescent="0.2">
      <c r="A1325" s="9" t="s">
        <v>1092</v>
      </c>
      <c r="B1325" s="9">
        <v>2019</v>
      </c>
      <c r="C1325" s="9" t="s">
        <v>1093</v>
      </c>
      <c r="D1325" s="9" t="s">
        <v>1093</v>
      </c>
      <c r="E1325" s="13">
        <f>18530/340902</f>
        <v>5.4355797267249824E-2</v>
      </c>
      <c r="F1325" s="10"/>
      <c r="G1325" s="10"/>
      <c r="H1325" s="10"/>
      <c r="I1325" s="9" t="s">
        <v>1094</v>
      </c>
      <c r="J1325" s="9" t="s">
        <v>1098</v>
      </c>
      <c r="K1325" s="6">
        <f t="shared" si="40"/>
        <v>5.4355797267249824E-2</v>
      </c>
    </row>
    <row r="1326" spans="1:11" x14ac:dyDescent="0.2">
      <c r="A1326" t="s">
        <v>1100</v>
      </c>
      <c r="B1326">
        <v>2011</v>
      </c>
      <c r="C1326" t="s">
        <v>1101</v>
      </c>
      <c r="D1326" t="s">
        <v>1102</v>
      </c>
      <c r="E1326" s="5">
        <v>1</v>
      </c>
      <c r="I1326" t="s">
        <v>1103</v>
      </c>
      <c r="J1326" t="s">
        <v>1104</v>
      </c>
      <c r="K1326" s="6">
        <f t="shared" si="40"/>
        <v>1</v>
      </c>
    </row>
    <row r="1327" spans="1:11" x14ac:dyDescent="0.2">
      <c r="A1327" t="s">
        <v>1100</v>
      </c>
      <c r="B1327">
        <v>2016</v>
      </c>
      <c r="C1327" t="s">
        <v>1105</v>
      </c>
      <c r="D1327" t="s">
        <v>1105</v>
      </c>
      <c r="E1327" s="5">
        <v>0.99</v>
      </c>
      <c r="I1327" t="s">
        <v>1106</v>
      </c>
      <c r="J1327" t="s">
        <v>1104</v>
      </c>
      <c r="K1327" s="6">
        <f t="shared" si="40"/>
        <v>0.99</v>
      </c>
    </row>
    <row r="1328" spans="1:11" x14ac:dyDescent="0.2">
      <c r="A1328" t="s">
        <v>1100</v>
      </c>
      <c r="B1328">
        <v>2017</v>
      </c>
      <c r="C1328" t="s">
        <v>1105</v>
      </c>
      <c r="D1328" t="s">
        <v>1105</v>
      </c>
      <c r="E1328" s="5">
        <v>0.99</v>
      </c>
      <c r="I1328" t="s">
        <v>1107</v>
      </c>
      <c r="J1328" t="s">
        <v>1108</v>
      </c>
      <c r="K1328" s="6">
        <f t="shared" si="40"/>
        <v>0.99</v>
      </c>
    </row>
    <row r="1329" spans="1:11" x14ac:dyDescent="0.2">
      <c r="A1329" t="s">
        <v>1100</v>
      </c>
      <c r="B1329">
        <v>2018</v>
      </c>
      <c r="C1329" t="s">
        <v>1105</v>
      </c>
      <c r="D1329" t="s">
        <v>1105</v>
      </c>
      <c r="E1329" s="7">
        <v>0.99</v>
      </c>
      <c r="F1329" s="7"/>
      <c r="G1329" s="7"/>
      <c r="H1329" s="7"/>
      <c r="I1329" t="s">
        <v>1109</v>
      </c>
      <c r="J1329" t="s">
        <v>1110</v>
      </c>
      <c r="K1329" s="6">
        <f t="shared" si="40"/>
        <v>0.99</v>
      </c>
    </row>
    <row r="1330" spans="1:11" x14ac:dyDescent="0.2">
      <c r="A1330" t="s">
        <v>1100</v>
      </c>
      <c r="B1330">
        <v>2018</v>
      </c>
      <c r="C1330" s="8" t="s">
        <v>1100</v>
      </c>
      <c r="D1330" t="s">
        <v>1105</v>
      </c>
      <c r="E1330" s="7">
        <v>0.99</v>
      </c>
      <c r="F1330" s="7"/>
      <c r="G1330" s="7"/>
      <c r="H1330" s="7"/>
      <c r="I1330" t="s">
        <v>1109</v>
      </c>
      <c r="J1330" t="s">
        <v>1110</v>
      </c>
      <c r="K1330" s="6">
        <f t="shared" si="40"/>
        <v>0.99</v>
      </c>
    </row>
    <row r="1331" spans="1:11" x14ac:dyDescent="0.2">
      <c r="A1331" t="s">
        <v>1100</v>
      </c>
      <c r="B1331">
        <v>2018</v>
      </c>
      <c r="C1331" t="s">
        <v>1105</v>
      </c>
      <c r="D1331" t="s">
        <v>1105</v>
      </c>
      <c r="E1331" s="7">
        <v>0.99</v>
      </c>
      <c r="F1331" s="7"/>
      <c r="G1331" s="7"/>
      <c r="H1331" s="7"/>
      <c r="I1331" t="s">
        <v>1109</v>
      </c>
      <c r="J1331" t="s">
        <v>1110</v>
      </c>
      <c r="K1331" s="6">
        <f t="shared" si="40"/>
        <v>0.99</v>
      </c>
    </row>
    <row r="1332" spans="1:11" x14ac:dyDescent="0.2">
      <c r="A1332" s="9" t="s">
        <v>1100</v>
      </c>
      <c r="B1332" s="9">
        <v>2019</v>
      </c>
      <c r="C1332" s="9" t="s">
        <v>1105</v>
      </c>
      <c r="D1332" s="9" t="s">
        <v>1105</v>
      </c>
      <c r="E1332" s="10">
        <v>0.99</v>
      </c>
      <c r="F1332" s="10"/>
      <c r="G1332" s="10"/>
      <c r="H1332" s="10"/>
      <c r="I1332" s="9" t="s">
        <v>1109</v>
      </c>
      <c r="J1332" s="9" t="s">
        <v>1110</v>
      </c>
      <c r="K1332" s="6">
        <f t="shared" si="40"/>
        <v>0.99</v>
      </c>
    </row>
    <row r="1333" spans="1:11" x14ac:dyDescent="0.2">
      <c r="A1333" s="8" t="s">
        <v>1100</v>
      </c>
      <c r="B1333">
        <v>2016</v>
      </c>
      <c r="C1333" s="8" t="s">
        <v>1100</v>
      </c>
      <c r="D1333" t="s">
        <v>1111</v>
      </c>
      <c r="E1333" s="5">
        <v>0.99</v>
      </c>
      <c r="I1333" t="s">
        <v>1106</v>
      </c>
      <c r="J1333" t="s">
        <v>1104</v>
      </c>
      <c r="K1333" s="6">
        <f t="shared" si="40"/>
        <v>0.99</v>
      </c>
    </row>
    <row r="1334" spans="1:11" x14ac:dyDescent="0.2">
      <c r="A1334" s="8" t="s">
        <v>1100</v>
      </c>
      <c r="B1334">
        <v>2018</v>
      </c>
      <c r="C1334" s="8" t="s">
        <v>1100</v>
      </c>
      <c r="D1334" t="s">
        <v>1111</v>
      </c>
      <c r="E1334" s="7">
        <v>0.99</v>
      </c>
      <c r="F1334" s="7"/>
      <c r="G1334" s="7"/>
      <c r="H1334" s="7"/>
      <c r="I1334" t="s">
        <v>1109</v>
      </c>
      <c r="J1334" t="s">
        <v>1110</v>
      </c>
      <c r="K1334" s="6">
        <f t="shared" si="40"/>
        <v>0.99</v>
      </c>
    </row>
    <row r="1335" spans="1:11" x14ac:dyDescent="0.2">
      <c r="A1335" t="s">
        <v>1100</v>
      </c>
      <c r="B1335">
        <v>2018</v>
      </c>
      <c r="C1335" s="8" t="s">
        <v>1100</v>
      </c>
      <c r="D1335" t="s">
        <v>1111</v>
      </c>
      <c r="E1335" s="7">
        <v>0.99</v>
      </c>
      <c r="F1335" s="7"/>
      <c r="G1335" s="7"/>
      <c r="H1335" s="7"/>
      <c r="I1335" t="s">
        <v>1109</v>
      </c>
      <c r="J1335" t="s">
        <v>1110</v>
      </c>
      <c r="K1335" s="6">
        <f t="shared" si="40"/>
        <v>0.99</v>
      </c>
    </row>
    <row r="1336" spans="1:11" x14ac:dyDescent="0.2">
      <c r="A1336" t="s">
        <v>1100</v>
      </c>
      <c r="B1336">
        <v>2015</v>
      </c>
      <c r="C1336" t="s">
        <v>1101</v>
      </c>
      <c r="D1336" t="s">
        <v>1112</v>
      </c>
      <c r="E1336" s="5">
        <v>0.99</v>
      </c>
      <c r="I1336" t="s">
        <v>1113</v>
      </c>
      <c r="J1336" t="s">
        <v>1104</v>
      </c>
      <c r="K1336" s="6">
        <f t="shared" si="40"/>
        <v>0.99</v>
      </c>
    </row>
    <row r="1337" spans="1:11" x14ac:dyDescent="0.2">
      <c r="A1337" t="s">
        <v>1100</v>
      </c>
      <c r="B1337">
        <v>2016</v>
      </c>
      <c r="C1337" t="s">
        <v>1114</v>
      </c>
      <c r="D1337" t="s">
        <v>1114</v>
      </c>
      <c r="E1337" s="5">
        <v>0.99</v>
      </c>
      <c r="I1337" t="s">
        <v>1106</v>
      </c>
      <c r="J1337" t="s">
        <v>1104</v>
      </c>
      <c r="K1337" s="6">
        <f t="shared" si="40"/>
        <v>0.99</v>
      </c>
    </row>
    <row r="1338" spans="1:11" x14ac:dyDescent="0.2">
      <c r="A1338" t="s">
        <v>1100</v>
      </c>
      <c r="B1338">
        <v>2010</v>
      </c>
      <c r="C1338" t="s">
        <v>1101</v>
      </c>
      <c r="D1338" t="s">
        <v>1115</v>
      </c>
      <c r="E1338" s="5">
        <v>0.99</v>
      </c>
      <c r="I1338" t="s">
        <v>1106</v>
      </c>
      <c r="J1338" t="s">
        <v>1104</v>
      </c>
      <c r="K1338" s="6">
        <f t="shared" si="40"/>
        <v>0.99</v>
      </c>
    </row>
    <row r="1339" spans="1:11" x14ac:dyDescent="0.2">
      <c r="A1339" t="s">
        <v>1100</v>
      </c>
      <c r="B1339">
        <v>2011</v>
      </c>
      <c r="C1339" t="s">
        <v>1101</v>
      </c>
      <c r="D1339" t="s">
        <v>1115</v>
      </c>
      <c r="E1339" s="5">
        <v>0.99</v>
      </c>
      <c r="I1339" t="s">
        <v>1106</v>
      </c>
      <c r="J1339" t="s">
        <v>1104</v>
      </c>
      <c r="K1339" s="6">
        <f t="shared" si="40"/>
        <v>0.99</v>
      </c>
    </row>
    <row r="1340" spans="1:11" x14ac:dyDescent="0.2">
      <c r="A1340" t="s">
        <v>1100</v>
      </c>
      <c r="B1340">
        <v>2012</v>
      </c>
      <c r="C1340" t="s">
        <v>1101</v>
      </c>
      <c r="D1340" t="s">
        <v>1115</v>
      </c>
      <c r="E1340" s="5">
        <v>0.99</v>
      </c>
      <c r="I1340" t="s">
        <v>1106</v>
      </c>
      <c r="J1340" t="s">
        <v>1104</v>
      </c>
      <c r="K1340" s="6">
        <f t="shared" si="40"/>
        <v>0.99</v>
      </c>
    </row>
    <row r="1341" spans="1:11" x14ac:dyDescent="0.2">
      <c r="A1341" t="s">
        <v>1100</v>
      </c>
      <c r="B1341">
        <v>2013</v>
      </c>
      <c r="C1341" t="s">
        <v>1101</v>
      </c>
      <c r="D1341" t="s">
        <v>1115</v>
      </c>
      <c r="E1341" s="5">
        <v>0.99</v>
      </c>
      <c r="I1341" t="s">
        <v>1106</v>
      </c>
      <c r="J1341" t="s">
        <v>1104</v>
      </c>
      <c r="K1341" s="6">
        <f t="shared" si="40"/>
        <v>0.99</v>
      </c>
    </row>
    <row r="1342" spans="1:11" x14ac:dyDescent="0.2">
      <c r="A1342" t="s">
        <v>1100</v>
      </c>
      <c r="B1342">
        <v>2014</v>
      </c>
      <c r="C1342" t="s">
        <v>1101</v>
      </c>
      <c r="D1342" t="s">
        <v>1115</v>
      </c>
      <c r="E1342" s="5">
        <v>0.99</v>
      </c>
      <c r="I1342" t="s">
        <v>1106</v>
      </c>
      <c r="J1342" t="s">
        <v>1104</v>
      </c>
      <c r="K1342" s="6">
        <f t="shared" si="40"/>
        <v>0.99</v>
      </c>
    </row>
    <row r="1343" spans="1:11" x14ac:dyDescent="0.2">
      <c r="A1343" t="s">
        <v>1100</v>
      </c>
      <c r="B1343">
        <v>2015</v>
      </c>
      <c r="C1343" t="s">
        <v>1101</v>
      </c>
      <c r="D1343" t="s">
        <v>1101</v>
      </c>
      <c r="E1343" s="5">
        <v>0.99</v>
      </c>
      <c r="I1343" t="s">
        <v>1106</v>
      </c>
      <c r="J1343" t="s">
        <v>1104</v>
      </c>
      <c r="K1343" s="6">
        <f t="shared" si="40"/>
        <v>0.99</v>
      </c>
    </row>
    <row r="1344" spans="1:11" x14ac:dyDescent="0.2">
      <c r="A1344" t="s">
        <v>1100</v>
      </c>
      <c r="B1344">
        <v>2016</v>
      </c>
      <c r="C1344" t="s">
        <v>1101</v>
      </c>
      <c r="D1344" t="s">
        <v>1101</v>
      </c>
      <c r="E1344" s="5">
        <v>0.99</v>
      </c>
      <c r="I1344" t="s">
        <v>1106</v>
      </c>
      <c r="J1344" t="s">
        <v>1104</v>
      </c>
      <c r="K1344" s="6">
        <f t="shared" si="40"/>
        <v>0.99</v>
      </c>
    </row>
    <row r="1345" spans="1:11" x14ac:dyDescent="0.2">
      <c r="A1345" t="s">
        <v>1116</v>
      </c>
      <c r="B1345">
        <v>2015</v>
      </c>
      <c r="C1345" s="8" t="s">
        <v>1116</v>
      </c>
      <c r="D1345" t="s">
        <v>1117</v>
      </c>
      <c r="E1345" s="5">
        <v>1</v>
      </c>
      <c r="I1345" t="s">
        <v>1118</v>
      </c>
      <c r="J1345" t="s">
        <v>1119</v>
      </c>
      <c r="K1345" s="6">
        <f t="shared" si="40"/>
        <v>1</v>
      </c>
    </row>
    <row r="1346" spans="1:11" x14ac:dyDescent="0.2">
      <c r="A1346" t="s">
        <v>1116</v>
      </c>
      <c r="B1346">
        <v>2011</v>
      </c>
      <c r="C1346" t="s">
        <v>1116</v>
      </c>
      <c r="D1346" t="s">
        <v>1120</v>
      </c>
      <c r="E1346" s="5">
        <v>1</v>
      </c>
      <c r="I1346" t="s">
        <v>1118</v>
      </c>
      <c r="J1346" t="s">
        <v>1119</v>
      </c>
      <c r="K1346" s="6">
        <f t="shared" ref="K1346:K1409" si="41">SUM(E1346:H1346)</f>
        <v>1</v>
      </c>
    </row>
    <row r="1347" spans="1:11" x14ac:dyDescent="0.2">
      <c r="A1347" t="s">
        <v>1116</v>
      </c>
      <c r="B1347">
        <v>2016</v>
      </c>
      <c r="C1347" s="8" t="s">
        <v>1116</v>
      </c>
      <c r="D1347" t="s">
        <v>1121</v>
      </c>
      <c r="E1347" s="5">
        <v>1</v>
      </c>
      <c r="I1347" t="s">
        <v>1118</v>
      </c>
      <c r="J1347" t="s">
        <v>1119</v>
      </c>
      <c r="K1347" s="6">
        <f t="shared" si="41"/>
        <v>1</v>
      </c>
    </row>
    <row r="1348" spans="1:11" x14ac:dyDescent="0.2">
      <c r="A1348" t="s">
        <v>1116</v>
      </c>
      <c r="B1348">
        <v>2016</v>
      </c>
      <c r="C1348" s="8" t="s">
        <v>1116</v>
      </c>
      <c r="D1348" t="s">
        <v>1122</v>
      </c>
      <c r="E1348" s="5">
        <v>1</v>
      </c>
      <c r="I1348" t="s">
        <v>1118</v>
      </c>
      <c r="J1348" t="s">
        <v>1119</v>
      </c>
      <c r="K1348" s="6">
        <f t="shared" si="41"/>
        <v>1</v>
      </c>
    </row>
    <row r="1349" spans="1:11" x14ac:dyDescent="0.2">
      <c r="A1349" t="s">
        <v>1116</v>
      </c>
      <c r="B1349">
        <v>2016</v>
      </c>
      <c r="C1349" s="8" t="s">
        <v>1116</v>
      </c>
      <c r="D1349" t="s">
        <v>1123</v>
      </c>
      <c r="E1349" s="5">
        <v>1</v>
      </c>
      <c r="I1349" t="s">
        <v>1118</v>
      </c>
      <c r="J1349" t="s">
        <v>1119</v>
      </c>
      <c r="K1349" s="6">
        <f t="shared" si="41"/>
        <v>1</v>
      </c>
    </row>
    <row r="1350" spans="1:11" x14ac:dyDescent="0.2">
      <c r="A1350" t="s">
        <v>1116</v>
      </c>
      <c r="B1350">
        <v>2015</v>
      </c>
      <c r="C1350" s="8" t="s">
        <v>1116</v>
      </c>
      <c r="D1350" t="s">
        <v>1124</v>
      </c>
      <c r="E1350" s="5">
        <v>1</v>
      </c>
      <c r="I1350" t="s">
        <v>1118</v>
      </c>
      <c r="J1350" t="s">
        <v>1119</v>
      </c>
      <c r="K1350" s="6">
        <f t="shared" si="41"/>
        <v>1</v>
      </c>
    </row>
    <row r="1351" spans="1:11" x14ac:dyDescent="0.2">
      <c r="A1351" t="s">
        <v>1116</v>
      </c>
      <c r="B1351">
        <v>2011</v>
      </c>
      <c r="C1351" t="s">
        <v>1125</v>
      </c>
      <c r="D1351" t="s">
        <v>1126</v>
      </c>
      <c r="E1351" s="5">
        <v>1</v>
      </c>
      <c r="I1351" t="s">
        <v>1118</v>
      </c>
      <c r="J1351" t="s">
        <v>1119</v>
      </c>
      <c r="K1351" s="6">
        <f t="shared" si="41"/>
        <v>1</v>
      </c>
    </row>
    <row r="1352" spans="1:11" x14ac:dyDescent="0.2">
      <c r="A1352" t="s">
        <v>1116</v>
      </c>
      <c r="B1352">
        <v>2015</v>
      </c>
      <c r="C1352" s="8" t="s">
        <v>1116</v>
      </c>
      <c r="D1352" t="s">
        <v>1126</v>
      </c>
      <c r="E1352" s="5">
        <v>1</v>
      </c>
      <c r="I1352" t="s">
        <v>1118</v>
      </c>
      <c r="J1352" t="s">
        <v>1119</v>
      </c>
      <c r="K1352" s="6">
        <f t="shared" si="41"/>
        <v>1</v>
      </c>
    </row>
    <row r="1353" spans="1:11" x14ac:dyDescent="0.2">
      <c r="A1353" t="s">
        <v>1116</v>
      </c>
      <c r="B1353">
        <v>2010</v>
      </c>
      <c r="C1353" t="s">
        <v>1125</v>
      </c>
      <c r="D1353" t="s">
        <v>1125</v>
      </c>
      <c r="E1353" s="5">
        <v>1</v>
      </c>
      <c r="I1353" t="s">
        <v>1118</v>
      </c>
      <c r="J1353" t="s">
        <v>1119</v>
      </c>
      <c r="K1353" s="6">
        <f t="shared" si="41"/>
        <v>1</v>
      </c>
    </row>
    <row r="1354" spans="1:11" x14ac:dyDescent="0.2">
      <c r="A1354" t="s">
        <v>1116</v>
      </c>
      <c r="B1354">
        <v>2012</v>
      </c>
      <c r="C1354" t="s">
        <v>1125</v>
      </c>
      <c r="D1354" t="s">
        <v>1125</v>
      </c>
      <c r="E1354" s="5">
        <v>1</v>
      </c>
      <c r="I1354" t="s">
        <v>1118</v>
      </c>
      <c r="J1354" t="s">
        <v>1119</v>
      </c>
      <c r="K1354" s="6">
        <f t="shared" si="41"/>
        <v>1</v>
      </c>
    </row>
    <row r="1355" spans="1:11" x14ac:dyDescent="0.2">
      <c r="A1355" t="s">
        <v>1116</v>
      </c>
      <c r="B1355">
        <v>2013</v>
      </c>
      <c r="C1355" t="s">
        <v>1125</v>
      </c>
      <c r="D1355" t="s">
        <v>1125</v>
      </c>
      <c r="E1355" s="5">
        <v>1</v>
      </c>
      <c r="I1355" t="s">
        <v>1118</v>
      </c>
      <c r="J1355" t="s">
        <v>1119</v>
      </c>
      <c r="K1355" s="6">
        <f t="shared" si="41"/>
        <v>1</v>
      </c>
    </row>
    <row r="1356" spans="1:11" x14ac:dyDescent="0.2">
      <c r="A1356" t="s">
        <v>1116</v>
      </c>
      <c r="B1356">
        <v>2012</v>
      </c>
      <c r="C1356" t="s">
        <v>1127</v>
      </c>
      <c r="D1356" t="s">
        <v>1128</v>
      </c>
      <c r="E1356" s="5">
        <v>1</v>
      </c>
      <c r="I1356" t="s">
        <v>1118</v>
      </c>
      <c r="J1356" t="s">
        <v>1119</v>
      </c>
      <c r="K1356" s="6">
        <f t="shared" si="41"/>
        <v>1</v>
      </c>
    </row>
    <row r="1357" spans="1:11" x14ac:dyDescent="0.2">
      <c r="A1357" t="s">
        <v>1116</v>
      </c>
      <c r="B1357">
        <v>2012</v>
      </c>
      <c r="C1357" t="s">
        <v>1116</v>
      </c>
      <c r="D1357" t="s">
        <v>1128</v>
      </c>
      <c r="E1357" s="5">
        <v>1</v>
      </c>
      <c r="I1357" t="s">
        <v>1118</v>
      </c>
      <c r="J1357" t="s">
        <v>1119</v>
      </c>
      <c r="K1357" s="6">
        <f t="shared" si="41"/>
        <v>1</v>
      </c>
    </row>
    <row r="1358" spans="1:11" x14ac:dyDescent="0.2">
      <c r="A1358" t="s">
        <v>1116</v>
      </c>
      <c r="B1358">
        <v>2013</v>
      </c>
      <c r="C1358" t="s">
        <v>1125</v>
      </c>
      <c r="D1358" t="s">
        <v>1128</v>
      </c>
      <c r="E1358" s="5">
        <v>1</v>
      </c>
      <c r="I1358" t="s">
        <v>1118</v>
      </c>
      <c r="J1358" t="s">
        <v>1119</v>
      </c>
      <c r="K1358" s="6">
        <f t="shared" si="41"/>
        <v>1</v>
      </c>
    </row>
    <row r="1359" spans="1:11" x14ac:dyDescent="0.2">
      <c r="A1359" t="s">
        <v>1116</v>
      </c>
      <c r="B1359">
        <v>2013</v>
      </c>
      <c r="C1359" t="s">
        <v>1127</v>
      </c>
      <c r="D1359" t="s">
        <v>1128</v>
      </c>
      <c r="E1359" s="5">
        <v>1</v>
      </c>
      <c r="I1359" t="s">
        <v>1118</v>
      </c>
      <c r="J1359" t="s">
        <v>1119</v>
      </c>
      <c r="K1359" s="6">
        <f t="shared" si="41"/>
        <v>1</v>
      </c>
    </row>
    <row r="1360" spans="1:11" x14ac:dyDescent="0.2">
      <c r="A1360" t="s">
        <v>1116</v>
      </c>
      <c r="B1360">
        <v>2015</v>
      </c>
      <c r="C1360" s="8" t="s">
        <v>1116</v>
      </c>
      <c r="D1360" t="s">
        <v>1129</v>
      </c>
      <c r="E1360" s="5">
        <v>1</v>
      </c>
      <c r="I1360" t="s">
        <v>1118</v>
      </c>
      <c r="J1360" t="s">
        <v>1119</v>
      </c>
      <c r="K1360" s="6">
        <f t="shared" si="41"/>
        <v>1</v>
      </c>
    </row>
    <row r="1361" spans="1:11" x14ac:dyDescent="0.2">
      <c r="A1361" t="s">
        <v>1116</v>
      </c>
      <c r="B1361">
        <v>2018</v>
      </c>
      <c r="C1361" t="s">
        <v>1130</v>
      </c>
      <c r="D1361" t="s">
        <v>1129</v>
      </c>
      <c r="E1361" s="7">
        <v>1</v>
      </c>
      <c r="F1361" s="18"/>
      <c r="G1361" s="18"/>
      <c r="H1361" s="18"/>
      <c r="I1361" t="s">
        <v>1118</v>
      </c>
      <c r="J1361" t="s">
        <v>1131</v>
      </c>
      <c r="K1361" s="6">
        <f t="shared" si="41"/>
        <v>1</v>
      </c>
    </row>
    <row r="1362" spans="1:11" x14ac:dyDescent="0.2">
      <c r="A1362" t="s">
        <v>1116</v>
      </c>
      <c r="B1362">
        <v>2018</v>
      </c>
      <c r="C1362" t="s">
        <v>1130</v>
      </c>
      <c r="D1362" t="s">
        <v>1129</v>
      </c>
      <c r="E1362" s="7">
        <v>1</v>
      </c>
      <c r="F1362" s="18"/>
      <c r="G1362" s="18"/>
      <c r="H1362" s="18"/>
      <c r="I1362" t="s">
        <v>1118</v>
      </c>
      <c r="J1362" t="s">
        <v>1131</v>
      </c>
      <c r="K1362" s="6">
        <f t="shared" si="41"/>
        <v>1</v>
      </c>
    </row>
    <row r="1363" spans="1:11" x14ac:dyDescent="0.2">
      <c r="A1363" t="s">
        <v>1116</v>
      </c>
      <c r="B1363">
        <v>2013</v>
      </c>
      <c r="C1363" t="s">
        <v>140</v>
      </c>
      <c r="D1363" t="s">
        <v>1132</v>
      </c>
      <c r="E1363" s="5">
        <v>1</v>
      </c>
      <c r="I1363" t="s">
        <v>1118</v>
      </c>
      <c r="J1363" t="s">
        <v>1119</v>
      </c>
      <c r="K1363" s="6">
        <f t="shared" si="41"/>
        <v>1</v>
      </c>
    </row>
    <row r="1364" spans="1:11" x14ac:dyDescent="0.2">
      <c r="A1364" t="s">
        <v>1116</v>
      </c>
      <c r="B1364">
        <v>2018</v>
      </c>
      <c r="C1364" t="s">
        <v>1132</v>
      </c>
      <c r="D1364" t="s">
        <v>1132</v>
      </c>
      <c r="E1364" s="7">
        <v>1</v>
      </c>
      <c r="F1364" s="18"/>
      <c r="G1364" s="18"/>
      <c r="H1364" s="18"/>
      <c r="I1364" t="s">
        <v>1118</v>
      </c>
      <c r="J1364" t="s">
        <v>1131</v>
      </c>
      <c r="K1364" s="6">
        <f t="shared" si="41"/>
        <v>1</v>
      </c>
    </row>
    <row r="1365" spans="1:11" x14ac:dyDescent="0.2">
      <c r="A1365" t="s">
        <v>1116</v>
      </c>
      <c r="B1365">
        <v>2018</v>
      </c>
      <c r="C1365" s="8" t="s">
        <v>1116</v>
      </c>
      <c r="D1365" t="s">
        <v>1132</v>
      </c>
      <c r="E1365" s="7">
        <v>1</v>
      </c>
      <c r="F1365" s="18"/>
      <c r="G1365" s="18"/>
      <c r="H1365" s="18"/>
      <c r="I1365" t="s">
        <v>1118</v>
      </c>
      <c r="J1365" t="s">
        <v>1131</v>
      </c>
      <c r="K1365" s="6">
        <f t="shared" si="41"/>
        <v>1</v>
      </c>
    </row>
    <row r="1366" spans="1:11" x14ac:dyDescent="0.2">
      <c r="A1366" t="s">
        <v>1116</v>
      </c>
      <c r="B1366">
        <v>2018</v>
      </c>
      <c r="C1366" s="8" t="s">
        <v>1116</v>
      </c>
      <c r="D1366" t="s">
        <v>1132</v>
      </c>
      <c r="E1366" s="7">
        <v>1</v>
      </c>
      <c r="F1366" s="18"/>
      <c r="G1366" s="18"/>
      <c r="H1366" s="18"/>
      <c r="I1366" t="s">
        <v>1118</v>
      </c>
      <c r="J1366" t="s">
        <v>1131</v>
      </c>
      <c r="K1366" s="6">
        <f t="shared" si="41"/>
        <v>1</v>
      </c>
    </row>
    <row r="1367" spans="1:11" x14ac:dyDescent="0.2">
      <c r="A1367" t="s">
        <v>1116</v>
      </c>
      <c r="B1367">
        <v>2013</v>
      </c>
      <c r="C1367" s="8" t="s">
        <v>1116</v>
      </c>
      <c r="D1367" t="s">
        <v>1130</v>
      </c>
      <c r="E1367" s="5">
        <v>1</v>
      </c>
      <c r="I1367" t="s">
        <v>1118</v>
      </c>
      <c r="J1367" t="s">
        <v>1119</v>
      </c>
      <c r="K1367" s="6">
        <f t="shared" si="41"/>
        <v>1</v>
      </c>
    </row>
    <row r="1368" spans="1:11" x14ac:dyDescent="0.2">
      <c r="A1368" t="s">
        <v>1116</v>
      </c>
      <c r="B1368">
        <v>2014</v>
      </c>
      <c r="C1368" t="s">
        <v>1130</v>
      </c>
      <c r="D1368" t="s">
        <v>1130</v>
      </c>
      <c r="E1368" s="5">
        <v>1</v>
      </c>
      <c r="I1368" t="s">
        <v>1118</v>
      </c>
      <c r="J1368" t="s">
        <v>1119</v>
      </c>
      <c r="K1368" s="6">
        <f t="shared" si="41"/>
        <v>1</v>
      </c>
    </row>
    <row r="1369" spans="1:11" x14ac:dyDescent="0.2">
      <c r="A1369" t="s">
        <v>1116</v>
      </c>
      <c r="B1369">
        <v>2015</v>
      </c>
      <c r="C1369" t="s">
        <v>1130</v>
      </c>
      <c r="D1369" t="s">
        <v>1130</v>
      </c>
      <c r="E1369" s="5">
        <v>1</v>
      </c>
      <c r="I1369" t="s">
        <v>1118</v>
      </c>
      <c r="J1369" t="s">
        <v>1119</v>
      </c>
      <c r="K1369" s="6">
        <f t="shared" si="41"/>
        <v>1</v>
      </c>
    </row>
    <row r="1370" spans="1:11" x14ac:dyDescent="0.2">
      <c r="A1370" t="s">
        <v>1116</v>
      </c>
      <c r="B1370">
        <v>2016</v>
      </c>
      <c r="C1370" t="s">
        <v>1130</v>
      </c>
      <c r="D1370" t="s">
        <v>1130</v>
      </c>
      <c r="E1370" s="5">
        <v>1</v>
      </c>
      <c r="I1370" t="s">
        <v>1118</v>
      </c>
      <c r="J1370" t="s">
        <v>1119</v>
      </c>
      <c r="K1370" s="6">
        <f t="shared" si="41"/>
        <v>1</v>
      </c>
    </row>
    <row r="1371" spans="1:11" x14ac:dyDescent="0.2">
      <c r="A1371" t="s">
        <v>1116</v>
      </c>
      <c r="B1371">
        <v>2017</v>
      </c>
      <c r="C1371" t="s">
        <v>1130</v>
      </c>
      <c r="D1371" t="s">
        <v>1130</v>
      </c>
      <c r="E1371" s="5">
        <v>1</v>
      </c>
      <c r="I1371" t="s">
        <v>1118</v>
      </c>
      <c r="J1371" t="s">
        <v>1119</v>
      </c>
      <c r="K1371" s="6">
        <f t="shared" si="41"/>
        <v>1</v>
      </c>
    </row>
    <row r="1372" spans="1:11" x14ac:dyDescent="0.2">
      <c r="A1372" s="8" t="s">
        <v>1116</v>
      </c>
      <c r="B1372">
        <v>2018</v>
      </c>
      <c r="C1372" s="8" t="s">
        <v>1116</v>
      </c>
      <c r="D1372" t="s">
        <v>1130</v>
      </c>
      <c r="E1372" s="7">
        <v>1</v>
      </c>
      <c r="F1372" s="18"/>
      <c r="G1372" s="18"/>
      <c r="H1372" s="18"/>
      <c r="I1372" t="s">
        <v>1118</v>
      </c>
      <c r="J1372" t="s">
        <v>1131</v>
      </c>
      <c r="K1372" s="6">
        <f t="shared" si="41"/>
        <v>1</v>
      </c>
    </row>
    <row r="1373" spans="1:11" x14ac:dyDescent="0.2">
      <c r="A1373" t="s">
        <v>1116</v>
      </c>
      <c r="B1373">
        <v>2018</v>
      </c>
      <c r="C1373" s="8" t="s">
        <v>1116</v>
      </c>
      <c r="D1373" t="s">
        <v>1130</v>
      </c>
      <c r="E1373" s="7">
        <v>1</v>
      </c>
      <c r="F1373" s="18"/>
      <c r="G1373" s="18"/>
      <c r="H1373" s="18"/>
      <c r="I1373" t="s">
        <v>1118</v>
      </c>
      <c r="J1373" t="s">
        <v>1131</v>
      </c>
      <c r="K1373" s="6">
        <f t="shared" si="41"/>
        <v>1</v>
      </c>
    </row>
    <row r="1374" spans="1:11" x14ac:dyDescent="0.2">
      <c r="A1374" t="s">
        <v>1116</v>
      </c>
      <c r="B1374">
        <v>2018</v>
      </c>
      <c r="C1374" s="8" t="s">
        <v>1116</v>
      </c>
      <c r="D1374" t="s">
        <v>1130</v>
      </c>
      <c r="E1374" s="7">
        <v>1</v>
      </c>
      <c r="F1374" s="18"/>
      <c r="G1374" s="18"/>
      <c r="H1374" s="18"/>
      <c r="I1374" t="s">
        <v>1118</v>
      </c>
      <c r="J1374" t="s">
        <v>1131</v>
      </c>
      <c r="K1374" s="6">
        <f t="shared" si="41"/>
        <v>1</v>
      </c>
    </row>
    <row r="1375" spans="1:11" x14ac:dyDescent="0.2">
      <c r="A1375" t="s">
        <v>1116</v>
      </c>
      <c r="B1375">
        <v>2018</v>
      </c>
      <c r="C1375" t="s">
        <v>1130</v>
      </c>
      <c r="D1375" t="s">
        <v>1130</v>
      </c>
      <c r="E1375" s="7">
        <v>1</v>
      </c>
      <c r="F1375" s="18"/>
      <c r="G1375" s="18"/>
      <c r="H1375" s="18"/>
      <c r="I1375" t="s">
        <v>1118</v>
      </c>
      <c r="J1375" t="s">
        <v>1131</v>
      </c>
      <c r="K1375" s="6">
        <f t="shared" si="41"/>
        <v>1</v>
      </c>
    </row>
    <row r="1376" spans="1:11" x14ac:dyDescent="0.2">
      <c r="A1376" s="9" t="s">
        <v>1116</v>
      </c>
      <c r="B1376" s="9">
        <v>2019</v>
      </c>
      <c r="C1376" s="9" t="s">
        <v>1130</v>
      </c>
      <c r="D1376" s="9" t="s">
        <v>1130</v>
      </c>
      <c r="E1376" s="10">
        <v>1</v>
      </c>
      <c r="F1376" s="19"/>
      <c r="G1376" s="19"/>
      <c r="H1376" s="19"/>
      <c r="I1376" s="9" t="s">
        <v>1118</v>
      </c>
      <c r="J1376" s="9" t="s">
        <v>1131</v>
      </c>
      <c r="K1376" s="6">
        <f t="shared" si="41"/>
        <v>1</v>
      </c>
    </row>
    <row r="1377" spans="1:11" x14ac:dyDescent="0.2">
      <c r="A1377" s="9" t="s">
        <v>1116</v>
      </c>
      <c r="B1377" s="9">
        <v>2019</v>
      </c>
      <c r="C1377" s="9" t="s">
        <v>1130</v>
      </c>
      <c r="D1377" s="9" t="s">
        <v>1130</v>
      </c>
      <c r="E1377" s="10">
        <v>1</v>
      </c>
      <c r="F1377" s="19"/>
      <c r="G1377" s="19"/>
      <c r="H1377" s="19"/>
      <c r="I1377" s="9" t="s">
        <v>1118</v>
      </c>
      <c r="J1377" s="9" t="s">
        <v>1131</v>
      </c>
      <c r="K1377" s="6">
        <f t="shared" si="41"/>
        <v>1</v>
      </c>
    </row>
    <row r="1378" spans="1:11" x14ac:dyDescent="0.2">
      <c r="A1378" t="s">
        <v>1116</v>
      </c>
      <c r="B1378">
        <v>2013</v>
      </c>
      <c r="C1378" t="s">
        <v>1133</v>
      </c>
      <c r="D1378" t="s">
        <v>1133</v>
      </c>
      <c r="E1378" s="5">
        <v>1</v>
      </c>
      <c r="I1378" t="s">
        <v>1118</v>
      </c>
      <c r="J1378" t="s">
        <v>1119</v>
      </c>
      <c r="K1378" s="6">
        <f t="shared" si="41"/>
        <v>1</v>
      </c>
    </row>
    <row r="1379" spans="1:11" x14ac:dyDescent="0.2">
      <c r="A1379" t="s">
        <v>1116</v>
      </c>
      <c r="B1379">
        <v>2014</v>
      </c>
      <c r="C1379" t="s">
        <v>1134</v>
      </c>
      <c r="D1379" t="s">
        <v>1135</v>
      </c>
      <c r="E1379" s="5">
        <v>1</v>
      </c>
      <c r="I1379" t="s">
        <v>1118</v>
      </c>
      <c r="J1379" t="s">
        <v>1119</v>
      </c>
      <c r="K1379" s="6">
        <f t="shared" si="41"/>
        <v>1</v>
      </c>
    </row>
    <row r="1380" spans="1:11" x14ac:dyDescent="0.2">
      <c r="A1380" t="s">
        <v>1116</v>
      </c>
      <c r="B1380">
        <v>2014</v>
      </c>
      <c r="C1380" s="8" t="s">
        <v>1116</v>
      </c>
      <c r="D1380" t="s">
        <v>1136</v>
      </c>
      <c r="E1380" s="5">
        <v>1</v>
      </c>
      <c r="I1380" t="s">
        <v>1118</v>
      </c>
      <c r="J1380" t="s">
        <v>1119</v>
      </c>
      <c r="K1380" s="6">
        <f t="shared" si="41"/>
        <v>1</v>
      </c>
    </row>
    <row r="1381" spans="1:11" x14ac:dyDescent="0.2">
      <c r="A1381" t="s">
        <v>1116</v>
      </c>
      <c r="B1381">
        <v>2016</v>
      </c>
      <c r="C1381" s="8" t="s">
        <v>1116</v>
      </c>
      <c r="D1381" t="s">
        <v>1136</v>
      </c>
      <c r="E1381" s="5">
        <v>1</v>
      </c>
      <c r="I1381" t="s">
        <v>1118</v>
      </c>
      <c r="J1381" t="s">
        <v>1119</v>
      </c>
      <c r="K1381" s="6">
        <f t="shared" si="41"/>
        <v>1</v>
      </c>
    </row>
    <row r="1382" spans="1:11" x14ac:dyDescent="0.2">
      <c r="A1382" t="s">
        <v>1116</v>
      </c>
      <c r="B1382">
        <v>2015</v>
      </c>
      <c r="C1382" s="8" t="s">
        <v>1116</v>
      </c>
      <c r="D1382" t="s">
        <v>1137</v>
      </c>
      <c r="E1382" s="5">
        <v>1</v>
      </c>
      <c r="I1382" t="s">
        <v>1118</v>
      </c>
      <c r="J1382" t="s">
        <v>1119</v>
      </c>
      <c r="K1382" s="6">
        <f t="shared" si="41"/>
        <v>1</v>
      </c>
    </row>
    <row r="1383" spans="1:11" x14ac:dyDescent="0.2">
      <c r="A1383" t="s">
        <v>1116</v>
      </c>
      <c r="B1383">
        <v>2016</v>
      </c>
      <c r="C1383" s="8" t="s">
        <v>1116</v>
      </c>
      <c r="D1383" t="s">
        <v>1138</v>
      </c>
      <c r="E1383" s="5">
        <v>1</v>
      </c>
      <c r="I1383" t="s">
        <v>1118</v>
      </c>
      <c r="J1383" t="s">
        <v>1119</v>
      </c>
      <c r="K1383" s="6">
        <f t="shared" si="41"/>
        <v>1</v>
      </c>
    </row>
    <row r="1384" spans="1:11" x14ac:dyDescent="0.2">
      <c r="A1384" t="s">
        <v>1116</v>
      </c>
      <c r="B1384">
        <v>2013</v>
      </c>
      <c r="C1384" s="8" t="s">
        <v>1116</v>
      </c>
      <c r="D1384" t="s">
        <v>1139</v>
      </c>
      <c r="E1384" s="5">
        <v>1</v>
      </c>
      <c r="I1384" t="s">
        <v>1118</v>
      </c>
      <c r="J1384" t="s">
        <v>1119</v>
      </c>
      <c r="K1384" s="6">
        <f t="shared" si="41"/>
        <v>1</v>
      </c>
    </row>
    <row r="1385" spans="1:11" x14ac:dyDescent="0.2">
      <c r="A1385" t="s">
        <v>1116</v>
      </c>
      <c r="B1385">
        <v>2016</v>
      </c>
      <c r="C1385" s="8" t="s">
        <v>1116</v>
      </c>
      <c r="D1385" t="s">
        <v>1139</v>
      </c>
      <c r="E1385" s="5">
        <v>1</v>
      </c>
      <c r="I1385" t="s">
        <v>1118</v>
      </c>
      <c r="J1385" t="s">
        <v>1119</v>
      </c>
      <c r="K1385" s="6">
        <f t="shared" si="41"/>
        <v>1</v>
      </c>
    </row>
    <row r="1386" spans="1:11" x14ac:dyDescent="0.2">
      <c r="A1386" t="s">
        <v>1116</v>
      </c>
      <c r="B1386">
        <v>2015</v>
      </c>
      <c r="C1386" s="8" t="s">
        <v>1116</v>
      </c>
      <c r="D1386" t="s">
        <v>1140</v>
      </c>
      <c r="E1386" s="5">
        <v>1</v>
      </c>
      <c r="I1386" t="s">
        <v>1118</v>
      </c>
      <c r="J1386" t="s">
        <v>1119</v>
      </c>
      <c r="K1386" s="6">
        <f t="shared" si="41"/>
        <v>1</v>
      </c>
    </row>
    <row r="1387" spans="1:11" x14ac:dyDescent="0.2">
      <c r="A1387" t="s">
        <v>1116</v>
      </c>
      <c r="B1387">
        <v>2017</v>
      </c>
      <c r="C1387" s="8" t="s">
        <v>1116</v>
      </c>
      <c r="D1387" t="s">
        <v>1140</v>
      </c>
      <c r="E1387" s="5">
        <v>1</v>
      </c>
      <c r="I1387" t="s">
        <v>1118</v>
      </c>
      <c r="J1387" t="s">
        <v>1119</v>
      </c>
      <c r="K1387" s="6">
        <f t="shared" si="41"/>
        <v>1</v>
      </c>
    </row>
    <row r="1388" spans="1:11" x14ac:dyDescent="0.2">
      <c r="A1388" t="s">
        <v>1116</v>
      </c>
      <c r="B1388">
        <v>2015</v>
      </c>
      <c r="C1388" s="8" t="s">
        <v>1116</v>
      </c>
      <c r="D1388" t="s">
        <v>1141</v>
      </c>
      <c r="E1388" s="5">
        <v>1</v>
      </c>
      <c r="I1388" t="s">
        <v>1118</v>
      </c>
      <c r="J1388" t="s">
        <v>1119</v>
      </c>
      <c r="K1388" s="6">
        <f t="shared" si="41"/>
        <v>1</v>
      </c>
    </row>
    <row r="1389" spans="1:11" x14ac:dyDescent="0.2">
      <c r="A1389" t="s">
        <v>1116</v>
      </c>
      <c r="B1389">
        <v>2017</v>
      </c>
      <c r="C1389" t="s">
        <v>1134</v>
      </c>
      <c r="D1389" t="s">
        <v>1142</v>
      </c>
      <c r="E1389" s="5">
        <v>1</v>
      </c>
      <c r="I1389" t="s">
        <v>1118</v>
      </c>
      <c r="J1389" t="s">
        <v>1119</v>
      </c>
      <c r="K1389" s="6">
        <f t="shared" si="41"/>
        <v>1</v>
      </c>
    </row>
    <row r="1390" spans="1:11" x14ac:dyDescent="0.2">
      <c r="A1390" t="s">
        <v>1116</v>
      </c>
      <c r="B1390">
        <v>2015</v>
      </c>
      <c r="C1390" s="8" t="s">
        <v>1116</v>
      </c>
      <c r="D1390" t="s">
        <v>1143</v>
      </c>
      <c r="E1390" s="5">
        <v>1</v>
      </c>
      <c r="I1390" t="s">
        <v>1118</v>
      </c>
      <c r="J1390" t="s">
        <v>1119</v>
      </c>
      <c r="K1390" s="6">
        <f t="shared" si="41"/>
        <v>1</v>
      </c>
    </row>
    <row r="1391" spans="1:11" x14ac:dyDescent="0.2">
      <c r="A1391" t="s">
        <v>1116</v>
      </c>
      <c r="B1391">
        <v>2011</v>
      </c>
      <c r="C1391" t="s">
        <v>1116</v>
      </c>
      <c r="D1391" t="s">
        <v>1144</v>
      </c>
      <c r="E1391" s="5">
        <v>1</v>
      </c>
      <c r="I1391" t="s">
        <v>1118</v>
      </c>
      <c r="J1391" t="s">
        <v>1119</v>
      </c>
      <c r="K1391" s="6">
        <f t="shared" si="41"/>
        <v>1</v>
      </c>
    </row>
    <row r="1392" spans="1:11" x14ac:dyDescent="0.2">
      <c r="A1392" t="s">
        <v>1116</v>
      </c>
      <c r="B1392">
        <v>2015</v>
      </c>
      <c r="C1392" s="8" t="s">
        <v>1116</v>
      </c>
      <c r="D1392" t="s">
        <v>1145</v>
      </c>
      <c r="E1392" s="5">
        <v>1</v>
      </c>
      <c r="I1392" t="s">
        <v>1118</v>
      </c>
      <c r="J1392" t="s">
        <v>1119</v>
      </c>
      <c r="K1392" s="6">
        <f t="shared" si="41"/>
        <v>1</v>
      </c>
    </row>
    <row r="1393" spans="1:11" x14ac:dyDescent="0.2">
      <c r="A1393" t="s">
        <v>1116</v>
      </c>
      <c r="B1393">
        <v>2014</v>
      </c>
      <c r="C1393" s="8" t="s">
        <v>1116</v>
      </c>
      <c r="D1393" t="s">
        <v>1146</v>
      </c>
      <c r="E1393" s="5">
        <v>1</v>
      </c>
      <c r="I1393" t="s">
        <v>1118</v>
      </c>
      <c r="J1393" t="s">
        <v>1119</v>
      </c>
      <c r="K1393" s="6">
        <f t="shared" si="41"/>
        <v>1</v>
      </c>
    </row>
    <row r="1394" spans="1:11" x14ac:dyDescent="0.2">
      <c r="A1394" t="s">
        <v>1116</v>
      </c>
      <c r="B1394">
        <v>2016</v>
      </c>
      <c r="C1394" s="8" t="s">
        <v>1116</v>
      </c>
      <c r="D1394" t="s">
        <v>1146</v>
      </c>
      <c r="E1394" s="5">
        <v>1</v>
      </c>
      <c r="I1394" t="s">
        <v>1118</v>
      </c>
      <c r="J1394" t="s">
        <v>1119</v>
      </c>
      <c r="K1394" s="6">
        <f t="shared" si="41"/>
        <v>1</v>
      </c>
    </row>
    <row r="1395" spans="1:11" x14ac:dyDescent="0.2">
      <c r="A1395" t="s">
        <v>1116</v>
      </c>
      <c r="B1395">
        <v>2017</v>
      </c>
      <c r="C1395" s="8" t="s">
        <v>1116</v>
      </c>
      <c r="D1395" t="s">
        <v>1146</v>
      </c>
      <c r="E1395" s="5">
        <v>1</v>
      </c>
      <c r="I1395" t="s">
        <v>1118</v>
      </c>
      <c r="J1395" t="s">
        <v>1119</v>
      </c>
      <c r="K1395" s="6">
        <f t="shared" si="41"/>
        <v>1</v>
      </c>
    </row>
    <row r="1396" spans="1:11" x14ac:dyDescent="0.2">
      <c r="A1396" t="s">
        <v>1116</v>
      </c>
      <c r="B1396">
        <v>2017</v>
      </c>
      <c r="C1396" s="8" t="s">
        <v>1116</v>
      </c>
      <c r="D1396" t="s">
        <v>1147</v>
      </c>
      <c r="E1396" s="5">
        <v>1</v>
      </c>
      <c r="I1396" t="s">
        <v>1118</v>
      </c>
      <c r="J1396" t="s">
        <v>1119</v>
      </c>
      <c r="K1396" s="6">
        <f t="shared" si="41"/>
        <v>1</v>
      </c>
    </row>
    <row r="1397" spans="1:11" x14ac:dyDescent="0.2">
      <c r="A1397" t="s">
        <v>1116</v>
      </c>
      <c r="B1397">
        <v>2014</v>
      </c>
      <c r="C1397" t="s">
        <v>1148</v>
      </c>
      <c r="D1397" t="s">
        <v>1149</v>
      </c>
      <c r="E1397" s="5">
        <v>1</v>
      </c>
      <c r="I1397" t="s">
        <v>1118</v>
      </c>
      <c r="J1397" t="s">
        <v>1119</v>
      </c>
      <c r="K1397" s="6">
        <f t="shared" si="41"/>
        <v>1</v>
      </c>
    </row>
    <row r="1398" spans="1:11" x14ac:dyDescent="0.2">
      <c r="A1398" t="s">
        <v>1150</v>
      </c>
      <c r="B1398">
        <v>2014</v>
      </c>
      <c r="C1398" t="s">
        <v>1151</v>
      </c>
      <c r="D1398" t="s">
        <v>1152</v>
      </c>
      <c r="G1398" s="5">
        <v>0.2</v>
      </c>
      <c r="I1398" t="s">
        <v>1153</v>
      </c>
      <c r="J1398" t="s">
        <v>1154</v>
      </c>
      <c r="K1398" s="6">
        <f t="shared" si="41"/>
        <v>0.2</v>
      </c>
    </row>
    <row r="1399" spans="1:11" x14ac:dyDescent="0.2">
      <c r="A1399" t="s">
        <v>1150</v>
      </c>
      <c r="B1399">
        <v>2015</v>
      </c>
      <c r="C1399" t="s">
        <v>1151</v>
      </c>
      <c r="D1399" t="s">
        <v>1152</v>
      </c>
      <c r="G1399" s="5">
        <v>0.2</v>
      </c>
      <c r="I1399" t="s">
        <v>1153</v>
      </c>
      <c r="J1399" t="s">
        <v>1154</v>
      </c>
      <c r="K1399" s="6">
        <f t="shared" si="41"/>
        <v>0.2</v>
      </c>
    </row>
    <row r="1400" spans="1:11" x14ac:dyDescent="0.2">
      <c r="A1400" t="s">
        <v>1155</v>
      </c>
      <c r="B1400">
        <v>2018</v>
      </c>
      <c r="C1400" t="s">
        <v>1155</v>
      </c>
      <c r="D1400" t="s">
        <v>1156</v>
      </c>
      <c r="E1400" s="11"/>
      <c r="H1400" s="11">
        <v>1</v>
      </c>
      <c r="I1400" s="5" t="s">
        <v>1157</v>
      </c>
      <c r="J1400" t="s">
        <v>1158</v>
      </c>
      <c r="K1400" s="6">
        <f t="shared" si="41"/>
        <v>1</v>
      </c>
    </row>
    <row r="1401" spans="1:11" x14ac:dyDescent="0.2">
      <c r="A1401" t="s">
        <v>1155</v>
      </c>
      <c r="B1401">
        <v>2018</v>
      </c>
      <c r="C1401" t="s">
        <v>1155</v>
      </c>
      <c r="D1401" t="s">
        <v>1156</v>
      </c>
      <c r="H1401" s="11">
        <v>1</v>
      </c>
      <c r="I1401" s="5" t="s">
        <v>1157</v>
      </c>
      <c r="J1401" t="s">
        <v>1158</v>
      </c>
      <c r="K1401" s="6">
        <f t="shared" si="41"/>
        <v>1</v>
      </c>
    </row>
    <row r="1402" spans="1:11" x14ac:dyDescent="0.2">
      <c r="A1402" t="s">
        <v>1155</v>
      </c>
      <c r="B1402">
        <v>2011</v>
      </c>
      <c r="C1402" t="s">
        <v>1155</v>
      </c>
      <c r="D1402" t="s">
        <v>1159</v>
      </c>
      <c r="E1402" s="11">
        <v>1</v>
      </c>
      <c r="F1402" s="11"/>
      <c r="G1402" s="11"/>
      <c r="H1402" s="11"/>
      <c r="I1402" t="s">
        <v>1160</v>
      </c>
      <c r="J1402" t="s">
        <v>1161</v>
      </c>
      <c r="K1402" s="6">
        <f t="shared" si="41"/>
        <v>1</v>
      </c>
    </row>
    <row r="1403" spans="1:11" x14ac:dyDescent="0.2">
      <c r="A1403" t="s">
        <v>1155</v>
      </c>
      <c r="B1403">
        <v>2012</v>
      </c>
      <c r="C1403" t="s">
        <v>1162</v>
      </c>
      <c r="D1403" t="s">
        <v>1162</v>
      </c>
      <c r="E1403" s="5">
        <f>(290532)/(84446+3838+290532+781)</f>
        <v>0.765369589327629</v>
      </c>
      <c r="H1403" s="5">
        <f>(84446+3838)/(84446+3838+290532+781)</f>
        <v>0.2325729655397698</v>
      </c>
      <c r="I1403" t="s">
        <v>1163</v>
      </c>
      <c r="J1403" t="s">
        <v>1164</v>
      </c>
      <c r="K1403" s="6">
        <f t="shared" si="41"/>
        <v>0.9979425548673988</v>
      </c>
    </row>
    <row r="1404" spans="1:11" x14ac:dyDescent="0.2">
      <c r="A1404" t="s">
        <v>1155</v>
      </c>
      <c r="B1404">
        <v>2015</v>
      </c>
      <c r="C1404" t="s">
        <v>1162</v>
      </c>
      <c r="D1404" t="s">
        <v>1162</v>
      </c>
      <c r="E1404" s="5">
        <f>(245470)/(61119+6687+245470+587)</f>
        <v>0.78209282393910717</v>
      </c>
      <c r="H1404" s="5">
        <f>(61119+6687)/(61119+6687+245470+587)</f>
        <v>0.21603693331166782</v>
      </c>
      <c r="I1404" t="s">
        <v>1163</v>
      </c>
      <c r="J1404" t="s">
        <v>1165</v>
      </c>
      <c r="K1404" s="6">
        <f t="shared" si="41"/>
        <v>0.99812975725077502</v>
      </c>
    </row>
    <row r="1405" spans="1:11" x14ac:dyDescent="0.2">
      <c r="A1405" t="s">
        <v>1155</v>
      </c>
      <c r="B1405">
        <v>2016</v>
      </c>
      <c r="C1405" t="s">
        <v>1162</v>
      </c>
      <c r="D1405" t="s">
        <v>1162</v>
      </c>
      <c r="E1405" s="5">
        <f>(158321)/(24579+2772+158321+3476)</f>
        <v>0.83702180303254592</v>
      </c>
      <c r="H1405" s="5">
        <f>(24579+2772)/(24579+2772+158321+3476)</f>
        <v>0.14460105314357011</v>
      </c>
      <c r="I1405" t="s">
        <v>1163</v>
      </c>
      <c r="J1405" t="s">
        <v>1165</v>
      </c>
      <c r="K1405" s="6">
        <f t="shared" si="41"/>
        <v>0.981622856176116</v>
      </c>
    </row>
    <row r="1406" spans="1:11" x14ac:dyDescent="0.2">
      <c r="A1406" t="s">
        <v>1155</v>
      </c>
      <c r="B1406">
        <v>2017</v>
      </c>
      <c r="C1406" t="s">
        <v>1162</v>
      </c>
      <c r="D1406" t="s">
        <v>1162</v>
      </c>
      <c r="E1406" s="5">
        <f>(154218)/(154218+19848+936+920)</f>
        <v>0.87662714157410671</v>
      </c>
      <c r="H1406" s="5">
        <f>(19848+936)/(154218+19848+936+920)</f>
        <v>0.11814326803924466</v>
      </c>
      <c r="I1406" t="s">
        <v>1163</v>
      </c>
      <c r="J1406" t="s">
        <v>1166</v>
      </c>
      <c r="K1406" s="6">
        <f t="shared" si="41"/>
        <v>0.99477040961335139</v>
      </c>
    </row>
    <row r="1407" spans="1:11" x14ac:dyDescent="0.2">
      <c r="A1407" s="8" t="s">
        <v>1155</v>
      </c>
      <c r="B1407">
        <v>2018</v>
      </c>
      <c r="C1407" s="8" t="s">
        <v>1155</v>
      </c>
      <c r="D1407" t="s">
        <v>1162</v>
      </c>
      <c r="E1407" s="7">
        <f t="shared" ref="E1407:E1412" si="42">(69101+11181)/(69101+11181+23189+2141+114)</f>
        <v>0.75934018122316171</v>
      </c>
      <c r="F1407" s="7"/>
      <c r="G1407" s="7"/>
      <c r="H1407" s="7">
        <f t="shared" ref="H1407:H1412" si="43">(23189)/(69101+11181+23189+2141+114)</f>
        <v>0.21933110114825113</v>
      </c>
      <c r="I1407" t="s">
        <v>1167</v>
      </c>
      <c r="J1407" t="s">
        <v>1168</v>
      </c>
      <c r="K1407" s="6">
        <f t="shared" si="41"/>
        <v>0.97867128237141288</v>
      </c>
    </row>
    <row r="1408" spans="1:11" x14ac:dyDescent="0.2">
      <c r="A1408" t="s">
        <v>1155</v>
      </c>
      <c r="B1408">
        <v>2018</v>
      </c>
      <c r="C1408" s="8" t="s">
        <v>1155</v>
      </c>
      <c r="D1408" t="s">
        <v>1162</v>
      </c>
      <c r="E1408" s="7">
        <f t="shared" si="42"/>
        <v>0.75934018122316171</v>
      </c>
      <c r="F1408" s="7"/>
      <c r="G1408" s="7"/>
      <c r="H1408" s="7">
        <f t="shared" si="43"/>
        <v>0.21933110114825113</v>
      </c>
      <c r="I1408" t="s">
        <v>1167</v>
      </c>
      <c r="J1408" t="s">
        <v>1168</v>
      </c>
      <c r="K1408" s="6">
        <f t="shared" si="41"/>
        <v>0.97867128237141288</v>
      </c>
    </row>
    <row r="1409" spans="1:11" x14ac:dyDescent="0.2">
      <c r="A1409" t="s">
        <v>1155</v>
      </c>
      <c r="B1409">
        <v>2018</v>
      </c>
      <c r="C1409" s="8" t="s">
        <v>1155</v>
      </c>
      <c r="D1409" t="s">
        <v>1162</v>
      </c>
      <c r="E1409" s="7">
        <f t="shared" si="42"/>
        <v>0.75934018122316171</v>
      </c>
      <c r="F1409" s="7"/>
      <c r="G1409" s="7"/>
      <c r="H1409" s="7">
        <f t="shared" si="43"/>
        <v>0.21933110114825113</v>
      </c>
      <c r="I1409" t="s">
        <v>1167</v>
      </c>
      <c r="J1409" t="s">
        <v>1168</v>
      </c>
      <c r="K1409" s="6">
        <f t="shared" si="41"/>
        <v>0.97867128237141288</v>
      </c>
    </row>
    <row r="1410" spans="1:11" x14ac:dyDescent="0.2">
      <c r="A1410" t="s">
        <v>1155</v>
      </c>
      <c r="B1410">
        <v>2018</v>
      </c>
      <c r="C1410" t="s">
        <v>1162</v>
      </c>
      <c r="D1410" t="s">
        <v>1162</v>
      </c>
      <c r="E1410" s="7">
        <f t="shared" si="42"/>
        <v>0.75934018122316171</v>
      </c>
      <c r="F1410" s="7"/>
      <c r="G1410" s="7"/>
      <c r="H1410" s="7">
        <f t="shared" si="43"/>
        <v>0.21933110114825113</v>
      </c>
      <c r="I1410" t="s">
        <v>1167</v>
      </c>
      <c r="J1410" t="s">
        <v>1168</v>
      </c>
      <c r="K1410" s="6">
        <f t="shared" ref="K1410:K1473" si="44">SUM(E1410:H1410)</f>
        <v>0.97867128237141288</v>
      </c>
    </row>
    <row r="1411" spans="1:11" x14ac:dyDescent="0.2">
      <c r="A1411" s="9" t="s">
        <v>1155</v>
      </c>
      <c r="B1411" s="9">
        <v>2019</v>
      </c>
      <c r="C1411" s="9" t="s">
        <v>1162</v>
      </c>
      <c r="D1411" s="9" t="s">
        <v>1162</v>
      </c>
      <c r="E1411" s="10">
        <f t="shared" si="42"/>
        <v>0.75934018122316171</v>
      </c>
      <c r="F1411" s="10"/>
      <c r="G1411" s="10"/>
      <c r="H1411" s="10">
        <f t="shared" si="43"/>
        <v>0.21933110114825113</v>
      </c>
      <c r="I1411" s="9" t="s">
        <v>1167</v>
      </c>
      <c r="J1411" s="9" t="s">
        <v>1168</v>
      </c>
      <c r="K1411" s="6">
        <f t="shared" si="44"/>
        <v>0.97867128237141288</v>
      </c>
    </row>
    <row r="1412" spans="1:11" x14ac:dyDescent="0.2">
      <c r="A1412" s="9" t="s">
        <v>1155</v>
      </c>
      <c r="B1412" s="9">
        <v>2019</v>
      </c>
      <c r="C1412" s="9" t="s">
        <v>1162</v>
      </c>
      <c r="D1412" s="9" t="s">
        <v>1162</v>
      </c>
      <c r="E1412" s="10">
        <f t="shared" si="42"/>
        <v>0.75934018122316171</v>
      </c>
      <c r="F1412" s="10"/>
      <c r="G1412" s="10"/>
      <c r="H1412" s="10">
        <f t="shared" si="43"/>
        <v>0.21933110114825113</v>
      </c>
      <c r="I1412" s="9" t="s">
        <v>1167</v>
      </c>
      <c r="J1412" s="9" t="s">
        <v>1168</v>
      </c>
      <c r="K1412" s="6">
        <f t="shared" si="44"/>
        <v>0.97867128237141288</v>
      </c>
    </row>
    <row r="1413" spans="1:11" x14ac:dyDescent="0.2">
      <c r="A1413" t="s">
        <v>1155</v>
      </c>
      <c r="B1413">
        <v>2011</v>
      </c>
      <c r="C1413" t="s">
        <v>1155</v>
      </c>
      <c r="D1413" t="s">
        <v>1169</v>
      </c>
      <c r="E1413" s="11">
        <v>1</v>
      </c>
      <c r="F1413" s="11"/>
      <c r="G1413" s="11"/>
      <c r="H1413" s="11"/>
      <c r="I1413" t="s">
        <v>1170</v>
      </c>
      <c r="J1413" t="s">
        <v>1171</v>
      </c>
      <c r="K1413" s="6">
        <f t="shared" si="44"/>
        <v>1</v>
      </c>
    </row>
    <row r="1414" spans="1:11" x14ac:dyDescent="0.2">
      <c r="A1414" t="s">
        <v>1155</v>
      </c>
      <c r="B1414">
        <v>2016</v>
      </c>
      <c r="C1414" t="s">
        <v>1155</v>
      </c>
      <c r="D1414" t="s">
        <v>1172</v>
      </c>
      <c r="E1414" s="11">
        <v>1</v>
      </c>
      <c r="F1414" s="11"/>
      <c r="G1414" s="11"/>
      <c r="H1414" s="11"/>
      <c r="I1414" t="s">
        <v>1170</v>
      </c>
      <c r="J1414" t="s">
        <v>1171</v>
      </c>
      <c r="K1414" s="6">
        <f t="shared" si="44"/>
        <v>1</v>
      </c>
    </row>
    <row r="1415" spans="1:11" x14ac:dyDescent="0.2">
      <c r="A1415" t="s">
        <v>1155</v>
      </c>
      <c r="B1415">
        <v>2014</v>
      </c>
      <c r="C1415" t="s">
        <v>1155</v>
      </c>
      <c r="D1415" t="s">
        <v>1173</v>
      </c>
      <c r="E1415" s="11">
        <v>1</v>
      </c>
      <c r="F1415" s="11"/>
      <c r="G1415" s="11"/>
      <c r="H1415" s="11"/>
      <c r="I1415" t="s">
        <v>1170</v>
      </c>
      <c r="J1415" t="s">
        <v>1171</v>
      </c>
      <c r="K1415" s="6">
        <f t="shared" si="44"/>
        <v>1</v>
      </c>
    </row>
    <row r="1416" spans="1:11" x14ac:dyDescent="0.2">
      <c r="A1416" t="s">
        <v>1155</v>
      </c>
      <c r="B1416">
        <v>2017</v>
      </c>
      <c r="C1416" t="s">
        <v>1155</v>
      </c>
      <c r="D1416" t="s">
        <v>1174</v>
      </c>
      <c r="E1416" s="11">
        <v>1</v>
      </c>
      <c r="F1416" s="11"/>
      <c r="G1416" s="11"/>
      <c r="H1416" s="11"/>
      <c r="I1416" t="s">
        <v>1160</v>
      </c>
      <c r="J1416" t="s">
        <v>1161</v>
      </c>
      <c r="K1416" s="6">
        <f t="shared" si="44"/>
        <v>1</v>
      </c>
    </row>
    <row r="1417" spans="1:11" x14ac:dyDescent="0.2">
      <c r="A1417" t="s">
        <v>1155</v>
      </c>
      <c r="B1417">
        <v>2010</v>
      </c>
      <c r="C1417" t="s">
        <v>1155</v>
      </c>
      <c r="D1417" t="s">
        <v>1175</v>
      </c>
      <c r="E1417" s="11">
        <v>1</v>
      </c>
      <c r="F1417" s="11"/>
      <c r="G1417" s="11"/>
      <c r="H1417" s="11"/>
      <c r="I1417" t="s">
        <v>1170</v>
      </c>
      <c r="J1417" t="s">
        <v>1171</v>
      </c>
      <c r="K1417" s="6">
        <f t="shared" si="44"/>
        <v>1</v>
      </c>
    </row>
    <row r="1418" spans="1:11" x14ac:dyDescent="0.2">
      <c r="A1418" t="s">
        <v>1155</v>
      </c>
      <c r="B1418">
        <v>2012</v>
      </c>
      <c r="C1418" t="s">
        <v>1155</v>
      </c>
      <c r="D1418" t="s">
        <v>1175</v>
      </c>
      <c r="E1418" s="11">
        <v>1</v>
      </c>
      <c r="F1418" s="11"/>
      <c r="G1418" s="11"/>
      <c r="H1418" s="11"/>
      <c r="I1418" t="s">
        <v>1170</v>
      </c>
      <c r="J1418" t="s">
        <v>1171</v>
      </c>
      <c r="K1418" s="6">
        <f t="shared" si="44"/>
        <v>1</v>
      </c>
    </row>
    <row r="1419" spans="1:11" x14ac:dyDescent="0.2">
      <c r="A1419" t="s">
        <v>1155</v>
      </c>
      <c r="B1419">
        <v>2011</v>
      </c>
      <c r="C1419" t="s">
        <v>1176</v>
      </c>
      <c r="D1419" t="s">
        <v>1176</v>
      </c>
      <c r="E1419" s="5">
        <v>1</v>
      </c>
      <c r="I1419" t="s">
        <v>1177</v>
      </c>
      <c r="J1419" t="s">
        <v>1178</v>
      </c>
      <c r="K1419" s="6">
        <f t="shared" si="44"/>
        <v>1</v>
      </c>
    </row>
    <row r="1420" spans="1:11" x14ac:dyDescent="0.2">
      <c r="A1420" t="s">
        <v>1155</v>
      </c>
      <c r="B1420">
        <v>2016</v>
      </c>
      <c r="C1420" t="s">
        <v>1176</v>
      </c>
      <c r="D1420" t="s">
        <v>1176</v>
      </c>
      <c r="E1420" s="5">
        <v>1</v>
      </c>
      <c r="I1420" t="s">
        <v>1177</v>
      </c>
      <c r="J1420" t="s">
        <v>1178</v>
      </c>
      <c r="K1420" s="6">
        <f t="shared" si="44"/>
        <v>1</v>
      </c>
    </row>
    <row r="1421" spans="1:11" x14ac:dyDescent="0.2">
      <c r="A1421" t="s">
        <v>1155</v>
      </c>
      <c r="B1421">
        <v>2017</v>
      </c>
      <c r="C1421" t="s">
        <v>1176</v>
      </c>
      <c r="D1421" t="s">
        <v>1176</v>
      </c>
      <c r="E1421" s="5">
        <v>1</v>
      </c>
      <c r="I1421" t="s">
        <v>1177</v>
      </c>
      <c r="J1421" t="s">
        <v>1178</v>
      </c>
      <c r="K1421" s="6">
        <f t="shared" si="44"/>
        <v>1</v>
      </c>
    </row>
    <row r="1422" spans="1:11" x14ac:dyDescent="0.2">
      <c r="A1422" s="8" t="s">
        <v>1155</v>
      </c>
      <c r="B1422">
        <v>2018</v>
      </c>
      <c r="C1422" s="8" t="s">
        <v>1155</v>
      </c>
      <c r="D1422" t="s">
        <v>1176</v>
      </c>
      <c r="E1422" s="7">
        <v>1</v>
      </c>
      <c r="F1422" s="7"/>
      <c r="G1422" s="7"/>
      <c r="H1422" s="7"/>
      <c r="I1422" t="s">
        <v>1179</v>
      </c>
      <c r="J1422" t="s">
        <v>1180</v>
      </c>
      <c r="K1422" s="6">
        <f t="shared" si="44"/>
        <v>1</v>
      </c>
    </row>
    <row r="1423" spans="1:11" x14ac:dyDescent="0.2">
      <c r="A1423" t="s">
        <v>1155</v>
      </c>
      <c r="B1423">
        <v>2018</v>
      </c>
      <c r="C1423" s="8" t="s">
        <v>1155</v>
      </c>
      <c r="D1423" t="s">
        <v>1176</v>
      </c>
      <c r="E1423" s="7">
        <v>1</v>
      </c>
      <c r="F1423" s="7"/>
      <c r="G1423" s="7"/>
      <c r="H1423" s="7"/>
      <c r="I1423" t="s">
        <v>1179</v>
      </c>
      <c r="J1423" t="s">
        <v>1180</v>
      </c>
      <c r="K1423" s="6">
        <f t="shared" si="44"/>
        <v>1</v>
      </c>
    </row>
    <row r="1424" spans="1:11" x14ac:dyDescent="0.2">
      <c r="A1424" t="s">
        <v>1155</v>
      </c>
      <c r="B1424">
        <v>2018</v>
      </c>
      <c r="C1424" s="8" t="s">
        <v>1155</v>
      </c>
      <c r="D1424" t="s">
        <v>1176</v>
      </c>
      <c r="E1424" s="7">
        <v>1</v>
      </c>
      <c r="F1424" s="7"/>
      <c r="G1424" s="7"/>
      <c r="H1424" s="7"/>
      <c r="I1424" t="s">
        <v>1179</v>
      </c>
      <c r="J1424" t="s">
        <v>1180</v>
      </c>
      <c r="K1424" s="6">
        <f t="shared" si="44"/>
        <v>1</v>
      </c>
    </row>
    <row r="1425" spans="1:11" x14ac:dyDescent="0.2">
      <c r="A1425" s="9" t="s">
        <v>1155</v>
      </c>
      <c r="B1425" s="9">
        <v>2019</v>
      </c>
      <c r="C1425" s="9" t="s">
        <v>1176</v>
      </c>
      <c r="D1425" s="9" t="s">
        <v>1176</v>
      </c>
      <c r="E1425" s="10">
        <v>1</v>
      </c>
      <c r="F1425" s="10"/>
      <c r="G1425" s="10"/>
      <c r="H1425" s="10"/>
      <c r="I1425" s="9" t="s">
        <v>1179</v>
      </c>
      <c r="J1425" s="9" t="s">
        <v>1180</v>
      </c>
      <c r="K1425" s="6">
        <f t="shared" si="44"/>
        <v>1</v>
      </c>
    </row>
    <row r="1426" spans="1:11" x14ac:dyDescent="0.2">
      <c r="A1426" s="9" t="s">
        <v>1155</v>
      </c>
      <c r="B1426" s="9">
        <v>2019</v>
      </c>
      <c r="C1426" s="9" t="s">
        <v>1176</v>
      </c>
      <c r="D1426" s="9" t="s">
        <v>1176</v>
      </c>
      <c r="E1426" s="10">
        <v>1</v>
      </c>
      <c r="F1426" s="10"/>
      <c r="G1426" s="10"/>
      <c r="H1426" s="10"/>
      <c r="I1426" s="9" t="s">
        <v>1179</v>
      </c>
      <c r="J1426" s="9" t="s">
        <v>1180</v>
      </c>
      <c r="K1426" s="6">
        <f t="shared" si="44"/>
        <v>1</v>
      </c>
    </row>
    <row r="1427" spans="1:11" x14ac:dyDescent="0.2">
      <c r="A1427" t="s">
        <v>1155</v>
      </c>
      <c r="B1427">
        <v>2017</v>
      </c>
      <c r="C1427" t="s">
        <v>1155</v>
      </c>
      <c r="D1427" t="s">
        <v>1181</v>
      </c>
      <c r="E1427" s="11">
        <f>(23200+37148)/(56027+432+52174)</f>
        <v>0.55552180276711494</v>
      </c>
      <c r="F1427" s="11"/>
      <c r="G1427" s="11"/>
      <c r="H1427" s="11">
        <f>(25084+15026)/(56027+432+52174)</f>
        <v>0.36922482118693217</v>
      </c>
      <c r="I1427" t="s">
        <v>1182</v>
      </c>
      <c r="J1427" t="s">
        <v>1183</v>
      </c>
      <c r="K1427" s="6">
        <f t="shared" si="44"/>
        <v>0.92474662395404716</v>
      </c>
    </row>
    <row r="1428" spans="1:11" x14ac:dyDescent="0.2">
      <c r="A1428" t="s">
        <v>1155</v>
      </c>
      <c r="B1428">
        <v>2016</v>
      </c>
      <c r="C1428" t="s">
        <v>1184</v>
      </c>
      <c r="D1428" t="s">
        <v>1184</v>
      </c>
      <c r="E1428" s="5">
        <f>4678/39308</f>
        <v>0.11900885315966216</v>
      </c>
      <c r="H1428" s="5">
        <f>28180/39308</f>
        <v>0.71690241172280456</v>
      </c>
      <c r="I1428" t="s">
        <v>1182</v>
      </c>
      <c r="J1428" t="s">
        <v>1185</v>
      </c>
      <c r="K1428" s="6">
        <f t="shared" si="44"/>
        <v>0.8359112648824667</v>
      </c>
    </row>
    <row r="1429" spans="1:11" x14ac:dyDescent="0.2">
      <c r="A1429" s="8" t="s">
        <v>1155</v>
      </c>
      <c r="B1429">
        <v>2017</v>
      </c>
      <c r="C1429" s="8" t="s">
        <v>1155</v>
      </c>
      <c r="D1429" t="s">
        <v>1184</v>
      </c>
      <c r="E1429" s="11">
        <f>(23200+37148)/(56027+432+52174)</f>
        <v>0.55552180276711494</v>
      </c>
      <c r="F1429" s="11"/>
      <c r="G1429" s="11"/>
      <c r="H1429" s="11">
        <f>(25084+15026)/(56027+432+52174)</f>
        <v>0.36922482118693217</v>
      </c>
      <c r="I1429" t="s">
        <v>1182</v>
      </c>
      <c r="J1429" t="s">
        <v>1183</v>
      </c>
      <c r="K1429" s="6">
        <f t="shared" si="44"/>
        <v>0.92474662395404716</v>
      </c>
    </row>
    <row r="1430" spans="1:11" x14ac:dyDescent="0.2">
      <c r="A1430" t="s">
        <v>1155</v>
      </c>
      <c r="B1430">
        <v>2018</v>
      </c>
      <c r="C1430" s="8" t="s">
        <v>1155</v>
      </c>
      <c r="D1430" t="s">
        <v>1184</v>
      </c>
      <c r="E1430" s="7">
        <f>16764/(8441+16764+2869)</f>
        <v>0.59713614020089767</v>
      </c>
      <c r="F1430" s="7"/>
      <c r="G1430" s="7"/>
      <c r="H1430" s="7">
        <f>8441/(8441+16764+2869)</f>
        <v>0.3006696587589941</v>
      </c>
      <c r="I1430" t="s">
        <v>1182</v>
      </c>
      <c r="J1430" t="s">
        <v>1186</v>
      </c>
      <c r="K1430" s="6">
        <f t="shared" si="44"/>
        <v>0.89780579895989177</v>
      </c>
    </row>
    <row r="1431" spans="1:11" x14ac:dyDescent="0.2">
      <c r="A1431" t="s">
        <v>1155</v>
      </c>
      <c r="B1431">
        <v>2018</v>
      </c>
      <c r="C1431" t="s">
        <v>1184</v>
      </c>
      <c r="D1431" t="s">
        <v>1184</v>
      </c>
      <c r="E1431" s="7">
        <f>16764/(8441+16764+2869)</f>
        <v>0.59713614020089767</v>
      </c>
      <c r="F1431" s="7"/>
      <c r="G1431" s="7"/>
      <c r="H1431" s="7">
        <f>8441/(8441+16764+2869)</f>
        <v>0.3006696587589941</v>
      </c>
      <c r="I1431" t="s">
        <v>1182</v>
      </c>
      <c r="J1431" t="s">
        <v>1186</v>
      </c>
      <c r="K1431" s="6">
        <f t="shared" si="44"/>
        <v>0.89780579895989177</v>
      </c>
    </row>
    <row r="1432" spans="1:11" x14ac:dyDescent="0.2">
      <c r="A1432" t="s">
        <v>1187</v>
      </c>
      <c r="B1432">
        <v>2014</v>
      </c>
      <c r="C1432" t="s">
        <v>1188</v>
      </c>
      <c r="D1432" t="s">
        <v>1189</v>
      </c>
      <c r="F1432" s="5">
        <v>1</v>
      </c>
      <c r="I1432" t="s">
        <v>1190</v>
      </c>
      <c r="J1432" t="s">
        <v>1191</v>
      </c>
      <c r="K1432" s="6">
        <f t="shared" si="44"/>
        <v>1</v>
      </c>
    </row>
    <row r="1433" spans="1:11" x14ac:dyDescent="0.2">
      <c r="A1433" t="s">
        <v>1187</v>
      </c>
      <c r="B1433">
        <v>2012</v>
      </c>
      <c r="C1433" t="s">
        <v>1192</v>
      </c>
      <c r="D1433" t="s">
        <v>1193</v>
      </c>
      <c r="E1433" s="5">
        <v>1</v>
      </c>
      <c r="I1433" t="s">
        <v>1194</v>
      </c>
      <c r="J1433" t="s">
        <v>1195</v>
      </c>
      <c r="K1433" s="6">
        <f t="shared" si="44"/>
        <v>1</v>
      </c>
    </row>
    <row r="1434" spans="1:11" x14ac:dyDescent="0.2">
      <c r="A1434" t="s">
        <v>1187</v>
      </c>
      <c r="B1434">
        <v>2010</v>
      </c>
      <c r="C1434" t="s">
        <v>1188</v>
      </c>
      <c r="D1434" t="s">
        <v>1196</v>
      </c>
      <c r="F1434" s="5">
        <v>1</v>
      </c>
      <c r="I1434" t="s">
        <v>1197</v>
      </c>
      <c r="J1434" t="s">
        <v>1198</v>
      </c>
      <c r="K1434" s="6">
        <f t="shared" si="44"/>
        <v>1</v>
      </c>
    </row>
    <row r="1435" spans="1:11" x14ac:dyDescent="0.2">
      <c r="A1435" t="s">
        <v>1187</v>
      </c>
      <c r="B1435">
        <v>2012</v>
      </c>
      <c r="C1435" t="s">
        <v>1188</v>
      </c>
      <c r="D1435" t="s">
        <v>1199</v>
      </c>
      <c r="F1435" s="5">
        <v>1</v>
      </c>
      <c r="I1435" t="s">
        <v>1197</v>
      </c>
      <c r="J1435" t="s">
        <v>1198</v>
      </c>
      <c r="K1435" s="6">
        <f t="shared" si="44"/>
        <v>1</v>
      </c>
    </row>
    <row r="1436" spans="1:11" x14ac:dyDescent="0.2">
      <c r="A1436" s="8" t="s">
        <v>1187</v>
      </c>
      <c r="B1436">
        <v>2016</v>
      </c>
      <c r="C1436" s="8" t="s">
        <v>1187</v>
      </c>
      <c r="D1436" t="s">
        <v>1200</v>
      </c>
      <c r="F1436" s="5">
        <v>1</v>
      </c>
      <c r="I1436" t="s">
        <v>1197</v>
      </c>
      <c r="J1436" t="s">
        <v>1198</v>
      </c>
      <c r="K1436" s="6">
        <f t="shared" si="44"/>
        <v>1</v>
      </c>
    </row>
    <row r="1437" spans="1:11" x14ac:dyDescent="0.2">
      <c r="A1437" t="s">
        <v>1187</v>
      </c>
      <c r="B1437">
        <v>2018</v>
      </c>
      <c r="C1437" t="s">
        <v>1201</v>
      </c>
      <c r="D1437" t="s">
        <v>1200</v>
      </c>
      <c r="E1437" s="25"/>
      <c r="F1437" s="5">
        <v>1</v>
      </c>
      <c r="I1437" t="s">
        <v>1197</v>
      </c>
      <c r="J1437" t="s">
        <v>1198</v>
      </c>
      <c r="K1437" s="6">
        <f t="shared" si="44"/>
        <v>1</v>
      </c>
    </row>
    <row r="1438" spans="1:11" x14ac:dyDescent="0.2">
      <c r="A1438" t="s">
        <v>1187</v>
      </c>
      <c r="B1438">
        <v>2018</v>
      </c>
      <c r="C1438" t="s">
        <v>1201</v>
      </c>
      <c r="D1438" t="s">
        <v>1200</v>
      </c>
      <c r="F1438" s="5">
        <v>1</v>
      </c>
      <c r="I1438" t="s">
        <v>1197</v>
      </c>
      <c r="K1438" s="6">
        <f t="shared" si="44"/>
        <v>1</v>
      </c>
    </row>
    <row r="1439" spans="1:11" x14ac:dyDescent="0.2">
      <c r="A1439" t="s">
        <v>1187</v>
      </c>
      <c r="B1439">
        <v>2016</v>
      </c>
      <c r="C1439" t="s">
        <v>1188</v>
      </c>
      <c r="D1439" t="s">
        <v>1202</v>
      </c>
      <c r="F1439" s="5">
        <v>1</v>
      </c>
      <c r="I1439" t="s">
        <v>1197</v>
      </c>
      <c r="J1439" t="s">
        <v>1198</v>
      </c>
      <c r="K1439" s="6">
        <f t="shared" si="44"/>
        <v>1</v>
      </c>
    </row>
    <row r="1440" spans="1:11" x14ac:dyDescent="0.2">
      <c r="A1440" t="s">
        <v>1187</v>
      </c>
      <c r="B1440">
        <v>2013</v>
      </c>
      <c r="C1440" t="s">
        <v>1201</v>
      </c>
      <c r="D1440" t="s">
        <v>1203</v>
      </c>
      <c r="F1440" s="5">
        <v>1</v>
      </c>
      <c r="I1440" t="s">
        <v>1197</v>
      </c>
      <c r="J1440" t="s">
        <v>1204</v>
      </c>
      <c r="K1440" s="6">
        <f t="shared" si="44"/>
        <v>1</v>
      </c>
    </row>
    <row r="1441" spans="1:11" x14ac:dyDescent="0.2">
      <c r="A1441" s="8" t="s">
        <v>1187</v>
      </c>
      <c r="B1441">
        <v>2017</v>
      </c>
      <c r="C1441" s="8" t="s">
        <v>1187</v>
      </c>
      <c r="D1441" t="s">
        <v>1203</v>
      </c>
      <c r="F1441" s="5">
        <v>1</v>
      </c>
      <c r="I1441" t="s">
        <v>1197</v>
      </c>
      <c r="J1441" t="s">
        <v>1204</v>
      </c>
      <c r="K1441" s="6">
        <f t="shared" si="44"/>
        <v>1</v>
      </c>
    </row>
    <row r="1442" spans="1:11" x14ac:dyDescent="0.2">
      <c r="A1442" t="s">
        <v>1187</v>
      </c>
      <c r="B1442">
        <v>2013</v>
      </c>
      <c r="C1442" t="s">
        <v>1188</v>
      </c>
      <c r="D1442" t="s">
        <v>1205</v>
      </c>
      <c r="F1442" s="5">
        <v>1</v>
      </c>
      <c r="I1442" t="s">
        <v>1197</v>
      </c>
      <c r="J1442" t="s">
        <v>1204</v>
      </c>
      <c r="K1442" s="6">
        <f t="shared" si="44"/>
        <v>1</v>
      </c>
    </row>
    <row r="1443" spans="1:11" x14ac:dyDescent="0.2">
      <c r="A1443" t="s">
        <v>1187</v>
      </c>
      <c r="B1443">
        <v>2015</v>
      </c>
      <c r="C1443" t="s">
        <v>1188</v>
      </c>
      <c r="D1443" t="s">
        <v>1205</v>
      </c>
      <c r="F1443" s="5">
        <v>1</v>
      </c>
      <c r="I1443" t="s">
        <v>1197</v>
      </c>
      <c r="J1443" t="s">
        <v>1204</v>
      </c>
      <c r="K1443" s="6">
        <f t="shared" si="44"/>
        <v>1</v>
      </c>
    </row>
    <row r="1444" spans="1:11" x14ac:dyDescent="0.2">
      <c r="A1444" s="8" t="s">
        <v>1187</v>
      </c>
      <c r="B1444">
        <v>2017</v>
      </c>
      <c r="C1444" s="8" t="s">
        <v>1187</v>
      </c>
      <c r="D1444" t="s">
        <v>1205</v>
      </c>
      <c r="F1444" s="5">
        <v>1</v>
      </c>
      <c r="I1444" t="s">
        <v>1197</v>
      </c>
      <c r="J1444" t="s">
        <v>1204</v>
      </c>
      <c r="K1444" s="6">
        <f t="shared" si="44"/>
        <v>1</v>
      </c>
    </row>
    <row r="1445" spans="1:11" x14ac:dyDescent="0.2">
      <c r="A1445" t="s">
        <v>1187</v>
      </c>
      <c r="B1445">
        <v>2013</v>
      </c>
      <c r="C1445" t="s">
        <v>1188</v>
      </c>
      <c r="D1445" t="s">
        <v>1206</v>
      </c>
      <c r="F1445" s="5">
        <v>1</v>
      </c>
      <c r="I1445" t="s">
        <v>1197</v>
      </c>
      <c r="J1445" t="s">
        <v>1204</v>
      </c>
      <c r="K1445" s="6">
        <f t="shared" si="44"/>
        <v>1</v>
      </c>
    </row>
    <row r="1446" spans="1:11" x14ac:dyDescent="0.2">
      <c r="A1446" t="s">
        <v>1187</v>
      </c>
      <c r="B1446">
        <v>2013</v>
      </c>
      <c r="C1446" t="s">
        <v>1188</v>
      </c>
      <c r="D1446" t="s">
        <v>1207</v>
      </c>
      <c r="F1446" s="5">
        <v>1</v>
      </c>
      <c r="I1446" t="s">
        <v>1197</v>
      </c>
      <c r="J1446" t="s">
        <v>1204</v>
      </c>
      <c r="K1446" s="6">
        <f t="shared" si="44"/>
        <v>1</v>
      </c>
    </row>
    <row r="1447" spans="1:11" x14ac:dyDescent="0.2">
      <c r="A1447" t="s">
        <v>1187</v>
      </c>
      <c r="B1447">
        <v>2011</v>
      </c>
      <c r="C1447" t="s">
        <v>1208</v>
      </c>
      <c r="D1447" t="s">
        <v>1209</v>
      </c>
      <c r="F1447" s="5">
        <v>1</v>
      </c>
      <c r="I1447" t="s">
        <v>1190</v>
      </c>
      <c r="K1447" s="6">
        <f t="shared" si="44"/>
        <v>1</v>
      </c>
    </row>
    <row r="1448" spans="1:11" x14ac:dyDescent="0.2">
      <c r="A1448" t="s">
        <v>1187</v>
      </c>
      <c r="B1448">
        <v>2013</v>
      </c>
      <c r="C1448" t="s">
        <v>1208</v>
      </c>
      <c r="D1448" t="s">
        <v>1209</v>
      </c>
      <c r="F1448" s="5">
        <v>1</v>
      </c>
      <c r="I1448" t="s">
        <v>1190</v>
      </c>
      <c r="K1448" s="6">
        <f t="shared" si="44"/>
        <v>1</v>
      </c>
    </row>
    <row r="1449" spans="1:11" x14ac:dyDescent="0.2">
      <c r="A1449" t="s">
        <v>1187</v>
      </c>
      <c r="B1449">
        <v>2015</v>
      </c>
      <c r="C1449" t="s">
        <v>1210</v>
      </c>
      <c r="D1449" t="s">
        <v>1210</v>
      </c>
      <c r="F1449" s="5">
        <v>1</v>
      </c>
      <c r="I1449" t="s">
        <v>1190</v>
      </c>
      <c r="J1449" t="s">
        <v>1211</v>
      </c>
      <c r="K1449" s="6">
        <f t="shared" si="44"/>
        <v>1</v>
      </c>
    </row>
    <row r="1450" spans="1:11" x14ac:dyDescent="0.2">
      <c r="A1450" t="s">
        <v>1212</v>
      </c>
      <c r="B1450">
        <v>2017</v>
      </c>
      <c r="C1450" t="s">
        <v>1213</v>
      </c>
      <c r="D1450" t="s">
        <v>1213</v>
      </c>
      <c r="E1450" s="5">
        <f>(584.6*((1258589*(247630/(247630+19869+12618+20270)))/6723747)/3192.3)</f>
        <v>2.8258545562498259E-2</v>
      </c>
      <c r="G1450" s="5">
        <f>(584.6*((1258589*(19869/(247630+19869+12618+20270)))/6723747)/3192.3)</f>
        <v>2.2673708427140404E-3</v>
      </c>
      <c r="I1450" t="s">
        <v>1214</v>
      </c>
      <c r="J1450" s="26" t="s">
        <v>1215</v>
      </c>
      <c r="K1450" s="6">
        <f t="shared" si="44"/>
        <v>3.0525916405212301E-2</v>
      </c>
    </row>
    <row r="1451" spans="1:11" x14ac:dyDescent="0.2">
      <c r="A1451" t="s">
        <v>1212</v>
      </c>
      <c r="B1451">
        <v>2018</v>
      </c>
      <c r="C1451" t="s">
        <v>1216</v>
      </c>
      <c r="D1451" t="s">
        <v>1213</v>
      </c>
      <c r="E1451" s="7">
        <f>(711.2*((1564930*((251112/(251112+16678+13595+20336)))/7236247)))/1836.3</f>
        <v>6.9709437116315096E-2</v>
      </c>
      <c r="F1451" s="7"/>
      <c r="G1451" s="7">
        <f>(711.2*((1564930*((16678/(251112+16678+13595+20336)))/7236247)))/1836.3</f>
        <v>4.6298623412099104E-3</v>
      </c>
      <c r="H1451" s="7"/>
      <c r="I1451" t="s">
        <v>1214</v>
      </c>
      <c r="J1451" t="s">
        <v>1217</v>
      </c>
      <c r="K1451" s="6">
        <f t="shared" si="44"/>
        <v>7.4339299457525002E-2</v>
      </c>
    </row>
    <row r="1452" spans="1:11" x14ac:dyDescent="0.2">
      <c r="A1452" t="s">
        <v>1212</v>
      </c>
      <c r="B1452">
        <v>2018</v>
      </c>
      <c r="C1452" t="s">
        <v>1213</v>
      </c>
      <c r="D1452" t="s">
        <v>1213</v>
      </c>
      <c r="E1452" s="7">
        <f>(711.2*((1564930*((251112/(251112+16678+13595+20336)))/7236247)))/1836.3</f>
        <v>6.9709437116315096E-2</v>
      </c>
      <c r="F1452" s="7"/>
      <c r="G1452" s="7">
        <f>(711.2*((1564930*((16678/(251112+16678+13595+20336)))/7236247)))/1836.3</f>
        <v>4.6298623412099104E-3</v>
      </c>
      <c r="H1452" s="7"/>
      <c r="I1452" t="s">
        <v>1214</v>
      </c>
      <c r="J1452" t="s">
        <v>1217</v>
      </c>
      <c r="K1452" s="6">
        <f t="shared" si="44"/>
        <v>7.4339299457525002E-2</v>
      </c>
    </row>
    <row r="1453" spans="1:11" x14ac:dyDescent="0.2">
      <c r="A1453" t="s">
        <v>1212</v>
      </c>
      <c r="B1453">
        <v>2018</v>
      </c>
      <c r="C1453" t="s">
        <v>1213</v>
      </c>
      <c r="D1453" t="s">
        <v>1213</v>
      </c>
      <c r="E1453" s="7">
        <f>(711.2*((1564930*((251112/(251112+16678+13595+20336)))/7236247)))/1836.3</f>
        <v>6.9709437116315096E-2</v>
      </c>
      <c r="F1453" s="7"/>
      <c r="G1453" s="7">
        <f>(711.2*((1564930*((16678/(251112+16678+13595+20336)))/7236247)))/1836.3</f>
        <v>4.6298623412099104E-3</v>
      </c>
      <c r="H1453" s="7"/>
      <c r="I1453" t="s">
        <v>1214</v>
      </c>
      <c r="J1453" t="s">
        <v>1217</v>
      </c>
      <c r="K1453" s="6">
        <f t="shared" si="44"/>
        <v>7.4339299457525002E-2</v>
      </c>
    </row>
    <row r="1454" spans="1:11" x14ac:dyDescent="0.2">
      <c r="A1454" t="s">
        <v>1212</v>
      </c>
      <c r="B1454">
        <v>2018</v>
      </c>
      <c r="C1454" t="s">
        <v>1213</v>
      </c>
      <c r="D1454" t="s">
        <v>1213</v>
      </c>
      <c r="E1454" s="7">
        <f>(711.2*((1564930*((251112/(251112+16678+13595+20336)))/7236247)))/1836.3</f>
        <v>6.9709437116315096E-2</v>
      </c>
      <c r="F1454" s="7"/>
      <c r="G1454" s="7">
        <f>(711.2*((1564930*((16678/(251112+16678+13595+20336)))/7236247)))/1836.3</f>
        <v>4.6298623412099104E-3</v>
      </c>
      <c r="H1454" s="7"/>
      <c r="I1454" t="s">
        <v>1214</v>
      </c>
      <c r="J1454" t="s">
        <v>1217</v>
      </c>
      <c r="K1454" s="6">
        <f t="shared" si="44"/>
        <v>7.4339299457525002E-2</v>
      </c>
    </row>
    <row r="1455" spans="1:11" x14ac:dyDescent="0.2">
      <c r="A1455" t="s">
        <v>1212</v>
      </c>
      <c r="B1455">
        <v>2013</v>
      </c>
      <c r="C1455" t="s">
        <v>1216</v>
      </c>
      <c r="D1455" t="s">
        <v>1216</v>
      </c>
      <c r="E1455" s="5">
        <f>(920.6*((3175961*(239921/(239921+21759+11645+3384)))/6598276))/1828.6</f>
        <v>0.21010767461617383</v>
      </c>
      <c r="G1455" s="5">
        <f>(920.6*((3175961*(21759/(239921+21759+11645+3384)))/6598276))/1828.6</f>
        <v>1.9055159373182532E-2</v>
      </c>
      <c r="I1455" t="s">
        <v>1218</v>
      </c>
      <c r="J1455" t="s">
        <v>1219</v>
      </c>
      <c r="K1455" s="6">
        <f t="shared" si="44"/>
        <v>0.22916283398935636</v>
      </c>
    </row>
    <row r="1456" spans="1:11" x14ac:dyDescent="0.2">
      <c r="A1456" t="s">
        <v>1212</v>
      </c>
      <c r="B1456">
        <v>2014</v>
      </c>
      <c r="C1456" t="s">
        <v>1216</v>
      </c>
      <c r="D1456" t="s">
        <v>1216</v>
      </c>
      <c r="E1456" s="5">
        <f>(380.4*(((3062754/5634574)*(246055/(246055+21697+13062+19236)))))/1056.5</f>
        <v>0.16049466447138519</v>
      </c>
      <c r="G1456" s="5">
        <f>(380.4*(((3062754/5634574)*(21697/(246055+21697+13062+19236)))))/1056.5</f>
        <v>1.4152334783018611E-2</v>
      </c>
      <c r="I1456" t="s">
        <v>1218</v>
      </c>
      <c r="J1456" t="s">
        <v>1220</v>
      </c>
      <c r="K1456" s="6">
        <f t="shared" si="44"/>
        <v>0.1746469992544038</v>
      </c>
    </row>
    <row r="1457" spans="1:11" x14ac:dyDescent="0.2">
      <c r="A1457" t="s">
        <v>1212</v>
      </c>
      <c r="B1457">
        <v>2015</v>
      </c>
      <c r="C1457" t="s">
        <v>1216</v>
      </c>
      <c r="D1457" t="s">
        <v>1216</v>
      </c>
      <c r="E1457" s="5">
        <f>(1200.3*(((1384992/3111734)*(246359/(246359+21338+13358+19578)))))/2376.6</f>
        <v>0.1842087666879243</v>
      </c>
      <c r="G1457" s="5">
        <f>(1200.3*(((1384992/3111734)*(21338/(246359+21338+13358+19578)))))/2376.6</f>
        <v>1.5954954613336347E-2</v>
      </c>
      <c r="I1457" t="s">
        <v>1218</v>
      </c>
      <c r="J1457" t="s">
        <v>1221</v>
      </c>
      <c r="K1457" s="6">
        <f t="shared" si="44"/>
        <v>0.20016372130126064</v>
      </c>
    </row>
    <row r="1458" spans="1:11" x14ac:dyDescent="0.2">
      <c r="A1458" t="s">
        <v>1212</v>
      </c>
      <c r="B1458">
        <v>2016</v>
      </c>
      <c r="C1458" t="s">
        <v>1216</v>
      </c>
      <c r="D1458" t="s">
        <v>1216</v>
      </c>
      <c r="E1458" s="5">
        <f>(159.8*(((1384992/3111734)*(246359/(246359+21338+13358+19578)))))/833.7</f>
        <v>6.9910684612143545E-2</v>
      </c>
      <c r="G1458" s="5">
        <f>(159.8*(((1384992/3111734)*(21338/(246359+21338+13358+19578)))))/833.7</f>
        <v>6.0552047550684945E-3</v>
      </c>
      <c r="I1458" t="s">
        <v>1222</v>
      </c>
      <c r="J1458" t="s">
        <v>1223</v>
      </c>
      <c r="K1458" s="6">
        <f t="shared" si="44"/>
        <v>7.5965889367212033E-2</v>
      </c>
    </row>
    <row r="1459" spans="1:11" x14ac:dyDescent="0.2">
      <c r="A1459" t="s">
        <v>1212</v>
      </c>
      <c r="B1459">
        <v>2017</v>
      </c>
      <c r="C1459" t="s">
        <v>1216</v>
      </c>
      <c r="D1459" t="s">
        <v>1216</v>
      </c>
      <c r="E1459" s="5">
        <f>(584.6*((1258589*(247630/(247630+19869+12618+20270)))/6723747)/3192.3)</f>
        <v>2.8258545562498259E-2</v>
      </c>
      <c r="G1459" s="5">
        <f>(584.6*((1258589*(19869/(247630+19869+12618+20270)))/6723747)/3192.3)</f>
        <v>2.2673708427140404E-3</v>
      </c>
      <c r="I1459" t="s">
        <v>1214</v>
      </c>
      <c r="J1459" s="26" t="s">
        <v>1215</v>
      </c>
      <c r="K1459" s="6">
        <f t="shared" si="44"/>
        <v>3.0525916405212301E-2</v>
      </c>
    </row>
    <row r="1460" spans="1:11" x14ac:dyDescent="0.2">
      <c r="A1460" t="s">
        <v>1212</v>
      </c>
      <c r="B1460">
        <v>2018</v>
      </c>
      <c r="C1460" t="s">
        <v>1216</v>
      </c>
      <c r="D1460" t="s">
        <v>1216</v>
      </c>
      <c r="E1460" s="7">
        <f t="shared" ref="E1460:E1465" si="45">(711.2*((1564930*((251112/(251112+16678+13595+20336)))/7236247)))/1836.3</f>
        <v>6.9709437116315096E-2</v>
      </c>
      <c r="F1460" s="7"/>
      <c r="G1460" s="7">
        <f t="shared" ref="G1460:G1465" si="46">(711.2*((1564930*((16678/(251112+16678+13595+20336)))/7236247)))/1836.3</f>
        <v>4.6298623412099104E-3</v>
      </c>
      <c r="H1460" s="7"/>
      <c r="I1460" t="s">
        <v>1214</v>
      </c>
      <c r="J1460" t="s">
        <v>1217</v>
      </c>
      <c r="K1460" s="6">
        <f t="shared" si="44"/>
        <v>7.4339299457525002E-2</v>
      </c>
    </row>
    <row r="1461" spans="1:11" x14ac:dyDescent="0.2">
      <c r="A1461" t="s">
        <v>1212</v>
      </c>
      <c r="B1461">
        <v>2018</v>
      </c>
      <c r="C1461" s="8" t="s">
        <v>281</v>
      </c>
      <c r="D1461" t="s">
        <v>1216</v>
      </c>
      <c r="E1461" s="7">
        <f t="shared" si="45"/>
        <v>6.9709437116315096E-2</v>
      </c>
      <c r="F1461" s="7"/>
      <c r="G1461" s="7">
        <f t="shared" si="46"/>
        <v>4.6298623412099104E-3</v>
      </c>
      <c r="H1461" s="7"/>
      <c r="I1461" t="s">
        <v>1214</v>
      </c>
      <c r="J1461" t="s">
        <v>1217</v>
      </c>
      <c r="K1461" s="6">
        <f t="shared" si="44"/>
        <v>7.4339299457525002E-2</v>
      </c>
    </row>
    <row r="1462" spans="1:11" x14ac:dyDescent="0.2">
      <c r="A1462" t="s">
        <v>1212</v>
      </c>
      <c r="B1462">
        <v>2018</v>
      </c>
      <c r="C1462" s="8" t="s">
        <v>281</v>
      </c>
      <c r="D1462" t="s">
        <v>1216</v>
      </c>
      <c r="E1462" s="7">
        <f t="shared" si="45"/>
        <v>6.9709437116315096E-2</v>
      </c>
      <c r="F1462" s="7"/>
      <c r="G1462" s="7">
        <f t="shared" si="46"/>
        <v>4.6298623412099104E-3</v>
      </c>
      <c r="H1462" s="7"/>
      <c r="I1462" t="s">
        <v>1214</v>
      </c>
      <c r="J1462" t="s">
        <v>1217</v>
      </c>
      <c r="K1462" s="6">
        <f t="shared" si="44"/>
        <v>7.4339299457525002E-2</v>
      </c>
    </row>
    <row r="1463" spans="1:11" x14ac:dyDescent="0.2">
      <c r="A1463" t="s">
        <v>1212</v>
      </c>
      <c r="B1463">
        <v>2018</v>
      </c>
      <c r="C1463" t="s">
        <v>1216</v>
      </c>
      <c r="D1463" t="s">
        <v>1216</v>
      </c>
      <c r="E1463" s="7">
        <f t="shared" si="45"/>
        <v>6.9709437116315096E-2</v>
      </c>
      <c r="F1463" s="7"/>
      <c r="G1463" s="7">
        <f t="shared" si="46"/>
        <v>4.6298623412099104E-3</v>
      </c>
      <c r="H1463" s="7"/>
      <c r="I1463" t="s">
        <v>1214</v>
      </c>
      <c r="J1463" t="s">
        <v>1217</v>
      </c>
      <c r="K1463" s="6">
        <f t="shared" si="44"/>
        <v>7.4339299457525002E-2</v>
      </c>
    </row>
    <row r="1464" spans="1:11" x14ac:dyDescent="0.2">
      <c r="A1464" s="9" t="s">
        <v>1212</v>
      </c>
      <c r="B1464" s="9">
        <v>2019</v>
      </c>
      <c r="C1464" s="9" t="s">
        <v>1216</v>
      </c>
      <c r="D1464" s="9" t="s">
        <v>1216</v>
      </c>
      <c r="E1464" s="10">
        <f t="shared" si="45"/>
        <v>6.9709437116315096E-2</v>
      </c>
      <c r="F1464" s="10"/>
      <c r="G1464" s="10">
        <f t="shared" si="46"/>
        <v>4.6298623412099104E-3</v>
      </c>
      <c r="H1464" s="10"/>
      <c r="I1464" s="9" t="s">
        <v>1214</v>
      </c>
      <c r="J1464" s="9" t="s">
        <v>1217</v>
      </c>
      <c r="K1464" s="6">
        <f t="shared" si="44"/>
        <v>7.4339299457525002E-2</v>
      </c>
    </row>
    <row r="1465" spans="1:11" x14ac:dyDescent="0.2">
      <c r="A1465" s="9" t="s">
        <v>1212</v>
      </c>
      <c r="B1465" s="9">
        <v>2019</v>
      </c>
      <c r="C1465" s="9" t="s">
        <v>1216</v>
      </c>
      <c r="D1465" s="9" t="s">
        <v>1216</v>
      </c>
      <c r="E1465" s="10">
        <f t="shared" si="45"/>
        <v>6.9709437116315096E-2</v>
      </c>
      <c r="F1465" s="10"/>
      <c r="G1465" s="10">
        <f t="shared" si="46"/>
        <v>4.6298623412099104E-3</v>
      </c>
      <c r="H1465" s="10"/>
      <c r="I1465" s="9" t="s">
        <v>1214</v>
      </c>
      <c r="J1465" s="9" t="s">
        <v>1217</v>
      </c>
      <c r="K1465" s="6">
        <f t="shared" si="44"/>
        <v>7.4339299457525002E-2</v>
      </c>
    </row>
    <row r="1466" spans="1:11" x14ac:dyDescent="0.2">
      <c r="A1466" t="s">
        <v>1212</v>
      </c>
      <c r="B1466">
        <v>2011</v>
      </c>
      <c r="C1466" t="s">
        <v>140</v>
      </c>
      <c r="D1466" t="s">
        <v>1224</v>
      </c>
      <c r="E1466" s="5">
        <f>((342.5*((1574418*(216837/(216837+22185+12255+3712))/2945285)))/1066.2)</f>
        <v>0.14602478069536579</v>
      </c>
      <c r="G1466" s="5">
        <f>((342.5*((1574418*(22185/(216837+22185+12255+3712))/2945285)))/1066.2)</f>
        <v>1.4940069082890325E-2</v>
      </c>
      <c r="I1466" t="s">
        <v>1218</v>
      </c>
      <c r="J1466" t="s">
        <v>1225</v>
      </c>
      <c r="K1466" s="6">
        <f t="shared" si="44"/>
        <v>0.16096484977825612</v>
      </c>
    </row>
    <row r="1467" spans="1:11" x14ac:dyDescent="0.2">
      <c r="A1467" t="s">
        <v>1212</v>
      </c>
      <c r="B1467">
        <v>2012</v>
      </c>
      <c r="C1467" t="s">
        <v>1216</v>
      </c>
      <c r="D1467" t="s">
        <v>1226</v>
      </c>
      <c r="E1467" s="5">
        <f>(601*((2774733/4934348)*(230919/(230919+21802+12333+3671))))/934.8</f>
        <v>0.31066962185983849</v>
      </c>
      <c r="G1467" s="5">
        <f>(601*((2774733/4934348)*(21802/(230919+21802+12333+3671))))/934.8</f>
        <v>2.933157988640258E-2</v>
      </c>
      <c r="I1467" t="s">
        <v>1227</v>
      </c>
      <c r="J1467" t="s">
        <v>1228</v>
      </c>
      <c r="K1467" s="6">
        <f t="shared" si="44"/>
        <v>0.34000120174624104</v>
      </c>
    </row>
    <row r="1468" spans="1:11" x14ac:dyDescent="0.2">
      <c r="A1468" t="s">
        <v>1212</v>
      </c>
      <c r="B1468">
        <v>2010</v>
      </c>
      <c r="C1468" t="s">
        <v>1216</v>
      </c>
      <c r="D1468" t="s">
        <v>1229</v>
      </c>
      <c r="E1468" s="5">
        <f>((294.7*((2068027*(205064/(205064+22028+11302+3713))/2575716)))/538.3)</f>
        <v>0.37230259477490835</v>
      </c>
      <c r="G1468" s="5">
        <f>((294.7*((2068027*(22028/(205064+22028+11302+3713))/2575716)))/538.3)</f>
        <v>3.9992790337171229E-2</v>
      </c>
      <c r="I1468" t="s">
        <v>1227</v>
      </c>
      <c r="J1468" t="s">
        <v>1230</v>
      </c>
      <c r="K1468" s="6">
        <f t="shared" si="44"/>
        <v>0.41229538511207958</v>
      </c>
    </row>
    <row r="1469" spans="1:11" x14ac:dyDescent="0.2">
      <c r="A1469" t="s">
        <v>1212</v>
      </c>
      <c r="B1469">
        <v>2013</v>
      </c>
      <c r="C1469" t="s">
        <v>1216</v>
      </c>
      <c r="D1469" t="s">
        <v>1231</v>
      </c>
      <c r="E1469" s="5">
        <f>(920.6*((3175961*(239921/(239921+21759+11645+3384)))/6598276))/1828.6</f>
        <v>0.21010767461617383</v>
      </c>
      <c r="G1469" s="5">
        <f>(920.6*((3175961*(21759/(239921+21759+11645+3384)))/6598276))/1828.6</f>
        <v>1.9055159373182532E-2</v>
      </c>
      <c r="I1469" t="s">
        <v>1232</v>
      </c>
      <c r="J1469" t="s">
        <v>1219</v>
      </c>
      <c r="K1469" s="6">
        <f t="shared" si="44"/>
        <v>0.22916283398935636</v>
      </c>
    </row>
    <row r="1470" spans="1:11" x14ac:dyDescent="0.2">
      <c r="A1470" t="s">
        <v>1212</v>
      </c>
      <c r="B1470">
        <v>2018</v>
      </c>
      <c r="C1470" t="s">
        <v>1216</v>
      </c>
      <c r="D1470" t="s">
        <v>1233</v>
      </c>
      <c r="E1470" s="7">
        <f t="shared" ref="E1470:E1476" si="47">(711.2*((1564930*((251112/(251112+16678+13595+20336)))/7236247)))/1836.3</f>
        <v>6.9709437116315096E-2</v>
      </c>
      <c r="F1470" s="7"/>
      <c r="G1470" s="7">
        <f t="shared" ref="G1470:G1476" si="48">(711.2*((1564930*((16678/(251112+16678+13595+20336)))/7236247)))/1836.3</f>
        <v>4.6298623412099104E-3</v>
      </c>
      <c r="H1470" s="7"/>
      <c r="I1470" t="s">
        <v>1214</v>
      </c>
      <c r="J1470" t="s">
        <v>1217</v>
      </c>
      <c r="K1470" s="6">
        <f t="shared" si="44"/>
        <v>7.4339299457525002E-2</v>
      </c>
    </row>
    <row r="1471" spans="1:11" x14ac:dyDescent="0.2">
      <c r="A1471" t="s">
        <v>1212</v>
      </c>
      <c r="B1471">
        <v>2018</v>
      </c>
      <c r="C1471" t="s">
        <v>1216</v>
      </c>
      <c r="D1471" t="s">
        <v>1233</v>
      </c>
      <c r="E1471" s="7">
        <f t="shared" si="47"/>
        <v>6.9709437116315096E-2</v>
      </c>
      <c r="F1471" s="7"/>
      <c r="G1471" s="7">
        <f t="shared" si="48"/>
        <v>4.6298623412099104E-3</v>
      </c>
      <c r="H1471" s="7"/>
      <c r="I1471" t="s">
        <v>1214</v>
      </c>
      <c r="J1471" t="s">
        <v>1217</v>
      </c>
      <c r="K1471" s="6">
        <f t="shared" si="44"/>
        <v>7.4339299457525002E-2</v>
      </c>
    </row>
    <row r="1472" spans="1:11" x14ac:dyDescent="0.2">
      <c r="A1472" t="s">
        <v>1212</v>
      </c>
      <c r="B1472">
        <v>2018</v>
      </c>
      <c r="C1472" t="s">
        <v>1234</v>
      </c>
      <c r="D1472" t="s">
        <v>1234</v>
      </c>
      <c r="E1472" s="7">
        <f t="shared" si="47"/>
        <v>6.9709437116315096E-2</v>
      </c>
      <c r="F1472" s="7"/>
      <c r="G1472" s="7">
        <f t="shared" si="48"/>
        <v>4.6298623412099104E-3</v>
      </c>
      <c r="H1472" s="7"/>
      <c r="I1472" t="s">
        <v>1214</v>
      </c>
      <c r="J1472" t="s">
        <v>1217</v>
      </c>
      <c r="K1472" s="6">
        <f t="shared" si="44"/>
        <v>7.4339299457525002E-2</v>
      </c>
    </row>
    <row r="1473" spans="1:11" x14ac:dyDescent="0.2">
      <c r="A1473" t="s">
        <v>1212</v>
      </c>
      <c r="B1473">
        <v>2018</v>
      </c>
      <c r="C1473" t="s">
        <v>1234</v>
      </c>
      <c r="D1473" t="s">
        <v>1234</v>
      </c>
      <c r="E1473" s="7">
        <f t="shared" si="47"/>
        <v>6.9709437116315096E-2</v>
      </c>
      <c r="F1473" s="7"/>
      <c r="G1473" s="7">
        <f t="shared" si="48"/>
        <v>4.6298623412099104E-3</v>
      </c>
      <c r="H1473" s="7"/>
      <c r="I1473" t="s">
        <v>1214</v>
      </c>
      <c r="J1473" t="s">
        <v>1217</v>
      </c>
      <c r="K1473" s="6">
        <f t="shared" si="44"/>
        <v>7.4339299457525002E-2</v>
      </c>
    </row>
    <row r="1474" spans="1:11" x14ac:dyDescent="0.2">
      <c r="A1474" s="9" t="s">
        <v>1212</v>
      </c>
      <c r="B1474" s="9">
        <v>2019</v>
      </c>
      <c r="C1474" s="9" t="s">
        <v>1234</v>
      </c>
      <c r="D1474" s="9" t="s">
        <v>1234</v>
      </c>
      <c r="E1474" s="10">
        <f t="shared" si="47"/>
        <v>6.9709437116315096E-2</v>
      </c>
      <c r="F1474" s="10"/>
      <c r="G1474" s="10">
        <f t="shared" si="48"/>
        <v>4.6298623412099104E-3</v>
      </c>
      <c r="H1474" s="10"/>
      <c r="I1474" s="9" t="s">
        <v>1214</v>
      </c>
      <c r="J1474" s="9" t="s">
        <v>1217</v>
      </c>
      <c r="K1474" s="6">
        <f t="shared" ref="K1474:K1537" si="49">SUM(E1474:H1474)</f>
        <v>7.4339299457525002E-2</v>
      </c>
    </row>
    <row r="1475" spans="1:11" x14ac:dyDescent="0.2">
      <c r="A1475" s="9" t="s">
        <v>1212</v>
      </c>
      <c r="B1475" s="9">
        <v>2019</v>
      </c>
      <c r="C1475" s="9" t="s">
        <v>1234</v>
      </c>
      <c r="D1475" s="9" t="s">
        <v>1234</v>
      </c>
      <c r="E1475" s="10">
        <f t="shared" si="47"/>
        <v>6.9709437116315096E-2</v>
      </c>
      <c r="F1475" s="10"/>
      <c r="G1475" s="10">
        <f t="shared" si="48"/>
        <v>4.6298623412099104E-3</v>
      </c>
      <c r="H1475" s="10"/>
      <c r="I1475" s="9" t="s">
        <v>1214</v>
      </c>
      <c r="J1475" s="9" t="s">
        <v>1217</v>
      </c>
      <c r="K1475" s="6">
        <f t="shared" si="49"/>
        <v>7.4339299457525002E-2</v>
      </c>
    </row>
    <row r="1476" spans="1:11" x14ac:dyDescent="0.2">
      <c r="A1476" s="8" t="s">
        <v>1212</v>
      </c>
      <c r="B1476">
        <v>2018</v>
      </c>
      <c r="C1476" s="8" t="s">
        <v>281</v>
      </c>
      <c r="D1476" t="s">
        <v>1235</v>
      </c>
      <c r="E1476" s="7">
        <f t="shared" si="47"/>
        <v>6.9709437116315096E-2</v>
      </c>
      <c r="F1476" s="7"/>
      <c r="G1476" s="7">
        <f t="shared" si="48"/>
        <v>4.6298623412099104E-3</v>
      </c>
      <c r="H1476" s="7"/>
      <c r="I1476" t="s">
        <v>1214</v>
      </c>
      <c r="J1476" t="s">
        <v>1217</v>
      </c>
      <c r="K1476" s="6">
        <f t="shared" si="49"/>
        <v>7.4339299457525002E-2</v>
      </c>
    </row>
    <row r="1477" spans="1:11" x14ac:dyDescent="0.2">
      <c r="A1477" t="s">
        <v>1212</v>
      </c>
      <c r="B1477">
        <v>2012</v>
      </c>
      <c r="C1477" t="s">
        <v>140</v>
      </c>
      <c r="D1477" t="s">
        <v>1236</v>
      </c>
      <c r="E1477" s="5">
        <f>(601*((2774733/4934348)*(230919/(230919+21802+12333+3671))))/934.8</f>
        <v>0.31066962185983849</v>
      </c>
      <c r="G1477" s="5">
        <f>(601*((2774733/4934348)*(21802/(230919+21802+12333+3671))))/934.8</f>
        <v>2.933157988640258E-2</v>
      </c>
      <c r="I1477" t="s">
        <v>1237</v>
      </c>
      <c r="J1477" t="s">
        <v>1228</v>
      </c>
      <c r="K1477" s="6">
        <f t="shared" si="49"/>
        <v>0.34000120174624104</v>
      </c>
    </row>
    <row r="1478" spans="1:11" x14ac:dyDescent="0.2">
      <c r="A1478" t="s">
        <v>1212</v>
      </c>
      <c r="B1478">
        <v>2015</v>
      </c>
      <c r="C1478" t="s">
        <v>1236</v>
      </c>
      <c r="D1478" t="s">
        <v>1236</v>
      </c>
      <c r="E1478" s="5">
        <f>(1200.3*(((1384992/3111734)*(246359/(246359+21338+13358+19578)))))/2376.6</f>
        <v>0.1842087666879243</v>
      </c>
      <c r="G1478" s="5">
        <f>(1200.3*(((1384992/3111734)*(21338/(246359+21338+13358+19578)))))/2376.6</f>
        <v>1.5954954613336347E-2</v>
      </c>
      <c r="I1478" t="s">
        <v>1237</v>
      </c>
      <c r="J1478" t="s">
        <v>1221</v>
      </c>
      <c r="K1478" s="6">
        <f t="shared" si="49"/>
        <v>0.20016372130126064</v>
      </c>
    </row>
    <row r="1479" spans="1:11" x14ac:dyDescent="0.2">
      <c r="A1479" t="s">
        <v>1212</v>
      </c>
      <c r="B1479">
        <v>2016</v>
      </c>
      <c r="C1479" t="s">
        <v>1236</v>
      </c>
      <c r="D1479" t="s">
        <v>1236</v>
      </c>
      <c r="E1479" s="5">
        <f>(159.8*(((1384992/3111734)*(246359/(246359+21338+13358+19578)))))/833.7</f>
        <v>6.9910684612143545E-2</v>
      </c>
      <c r="G1479" s="5">
        <f>(159.8*(((1384992/3111734)*(21338/(246359+21338+13358+19578)))))/833.7</f>
        <v>6.0552047550684945E-3</v>
      </c>
      <c r="I1479" t="s">
        <v>1238</v>
      </c>
      <c r="J1479" t="s">
        <v>1223</v>
      </c>
      <c r="K1479" s="6">
        <f t="shared" si="49"/>
        <v>7.5965889367212033E-2</v>
      </c>
    </row>
    <row r="1480" spans="1:11" x14ac:dyDescent="0.2">
      <c r="A1480" t="s">
        <v>1212</v>
      </c>
      <c r="B1480">
        <v>2017</v>
      </c>
      <c r="C1480" t="s">
        <v>1239</v>
      </c>
      <c r="D1480" t="s">
        <v>1239</v>
      </c>
      <c r="E1480" s="5">
        <f>(584.6*((1258589*(247630/(247630+19869+12618+20270)))/6723747)/3192.3)</f>
        <v>2.8258545562498259E-2</v>
      </c>
      <c r="G1480" s="5">
        <f>(584.6*((1258589*(19869/(247630+19869+12618+20270)))/6723747)/3192.3)</f>
        <v>2.2673708427140404E-3</v>
      </c>
      <c r="I1480" t="s">
        <v>1214</v>
      </c>
      <c r="J1480" s="26" t="s">
        <v>1215</v>
      </c>
      <c r="K1480" s="6">
        <f t="shared" si="49"/>
        <v>3.0525916405212301E-2</v>
      </c>
    </row>
    <row r="1481" spans="1:11" x14ac:dyDescent="0.2">
      <c r="A1481" t="s">
        <v>1212</v>
      </c>
      <c r="B1481">
        <v>2018</v>
      </c>
      <c r="C1481" t="s">
        <v>1239</v>
      </c>
      <c r="D1481" t="s">
        <v>1239</v>
      </c>
      <c r="E1481" s="7">
        <f>(711.2*((1564930*((251112/(251112+16678+13595+20336)))/7236247)))/1836.3</f>
        <v>6.9709437116315096E-2</v>
      </c>
      <c r="F1481" s="7"/>
      <c r="G1481" s="7">
        <f>(711.2*((1564930*((16678/(251112+16678+13595+20336)))/7236247)))/1836.3</f>
        <v>4.6298623412099104E-3</v>
      </c>
      <c r="H1481" s="7"/>
      <c r="I1481" t="s">
        <v>1214</v>
      </c>
      <c r="J1481" t="s">
        <v>1217</v>
      </c>
      <c r="K1481" s="6">
        <f t="shared" si="49"/>
        <v>7.4339299457525002E-2</v>
      </c>
    </row>
    <row r="1482" spans="1:11" x14ac:dyDescent="0.2">
      <c r="A1482" t="s">
        <v>1212</v>
      </c>
      <c r="B1482">
        <v>2018</v>
      </c>
      <c r="C1482" s="8" t="s">
        <v>1240</v>
      </c>
      <c r="D1482" t="s">
        <v>1239</v>
      </c>
      <c r="E1482" s="7">
        <f>(711.2*((1564930*((251112/(251112+16678+13595+20336)))/7236247)))/1836.3</f>
        <v>6.9709437116315096E-2</v>
      </c>
      <c r="F1482" s="7"/>
      <c r="G1482" s="7">
        <f>(711.2*((1564930*((16678/(251112+16678+13595+20336)))/7236247)))/1836.3</f>
        <v>4.6298623412099104E-3</v>
      </c>
      <c r="H1482" s="7"/>
      <c r="I1482" t="s">
        <v>1214</v>
      </c>
      <c r="J1482" t="s">
        <v>1217</v>
      </c>
      <c r="K1482" s="6">
        <f t="shared" si="49"/>
        <v>7.4339299457525002E-2</v>
      </c>
    </row>
    <row r="1483" spans="1:11" x14ac:dyDescent="0.2">
      <c r="A1483" t="s">
        <v>1212</v>
      </c>
      <c r="B1483">
        <v>2018</v>
      </c>
      <c r="C1483" s="8" t="s">
        <v>1240</v>
      </c>
      <c r="D1483" t="s">
        <v>1239</v>
      </c>
      <c r="E1483" s="7">
        <f>(711.2*((1564930*((251112/(251112+16678+13595+20336)))/7236247)))/1836.3</f>
        <v>6.9709437116315096E-2</v>
      </c>
      <c r="F1483" s="7"/>
      <c r="G1483" s="7">
        <f>(711.2*((1564930*((16678/(251112+16678+13595+20336)))/7236247)))/1836.3</f>
        <v>4.6298623412099104E-3</v>
      </c>
      <c r="H1483" s="7"/>
      <c r="I1483" t="s">
        <v>1214</v>
      </c>
      <c r="J1483" t="s">
        <v>1217</v>
      </c>
      <c r="K1483" s="6">
        <f t="shared" si="49"/>
        <v>7.4339299457525002E-2</v>
      </c>
    </row>
    <row r="1484" spans="1:11" x14ac:dyDescent="0.2">
      <c r="A1484" t="s">
        <v>1212</v>
      </c>
      <c r="B1484">
        <v>2013</v>
      </c>
      <c r="C1484" t="s">
        <v>140</v>
      </c>
      <c r="D1484" t="s">
        <v>1241</v>
      </c>
      <c r="E1484" s="7">
        <f>(920.6*((3175961*(239921/(239921+21759+11645+3384)))/6598276))/1828.6</f>
        <v>0.21010767461617383</v>
      </c>
      <c r="F1484" s="7"/>
      <c r="G1484" s="7">
        <f>(920.6*((3175961*(21759/(239921+21759+11645+3384)))/6598276))/1828.6</f>
        <v>1.9055159373182532E-2</v>
      </c>
      <c r="H1484" s="7"/>
      <c r="I1484" t="s">
        <v>1242</v>
      </c>
      <c r="J1484" t="s">
        <v>1219</v>
      </c>
      <c r="K1484" s="6">
        <f t="shared" si="49"/>
        <v>0.22916283398935636</v>
      </c>
    </row>
    <row r="1485" spans="1:11" x14ac:dyDescent="0.2">
      <c r="A1485" t="s">
        <v>1212</v>
      </c>
      <c r="B1485">
        <v>2015</v>
      </c>
      <c r="C1485" t="s">
        <v>1241</v>
      </c>
      <c r="D1485" t="s">
        <v>1241</v>
      </c>
      <c r="E1485" s="7">
        <f>(1200.3*(((1384992/3111734)*(246359/(246359+21338+13358+19578)))))/2376.6</f>
        <v>0.1842087666879243</v>
      </c>
      <c r="F1485" s="7"/>
      <c r="G1485" s="7">
        <f>(1200.3*(((1384992/3111734)*(21338/(246359+21338+13358+19578)))))/2376.6</f>
        <v>1.5954954613336347E-2</v>
      </c>
      <c r="H1485" s="7"/>
      <c r="I1485" t="s">
        <v>1242</v>
      </c>
      <c r="J1485" t="s">
        <v>1221</v>
      </c>
      <c r="K1485" s="6">
        <f t="shared" si="49"/>
        <v>0.20016372130126064</v>
      </c>
    </row>
    <row r="1486" spans="1:11" x14ac:dyDescent="0.2">
      <c r="A1486" t="s">
        <v>1212</v>
      </c>
      <c r="B1486">
        <v>2016</v>
      </c>
      <c r="C1486" t="s">
        <v>1241</v>
      </c>
      <c r="D1486" t="s">
        <v>1241</v>
      </c>
      <c r="E1486" s="7">
        <f>(159.8*(((1384992/3111734)*(246359/(246359+21338+13358+19578)))))/833.7</f>
        <v>6.9910684612143545E-2</v>
      </c>
      <c r="F1486" s="7"/>
      <c r="G1486" s="7">
        <f>(159.8*(((1384992/3111734)*(21338/(246359+21338+13358+19578)))))/833.7</f>
        <v>6.0552047550684945E-3</v>
      </c>
      <c r="H1486" s="7"/>
      <c r="I1486" t="s">
        <v>1243</v>
      </c>
      <c r="J1486" t="s">
        <v>1223</v>
      </c>
      <c r="K1486" s="6">
        <f t="shared" si="49"/>
        <v>7.5965889367212033E-2</v>
      </c>
    </row>
    <row r="1487" spans="1:11" x14ac:dyDescent="0.2">
      <c r="A1487" t="s">
        <v>1212</v>
      </c>
      <c r="B1487">
        <v>2017</v>
      </c>
      <c r="C1487" t="s">
        <v>1241</v>
      </c>
      <c r="D1487" t="s">
        <v>1241</v>
      </c>
      <c r="E1487" s="7">
        <f>(584.6*((1258589*(247630/(247630+19869+12618+20270)))/6723747)/3192.3)</f>
        <v>2.8258545562498259E-2</v>
      </c>
      <c r="F1487" s="7"/>
      <c r="G1487" s="7">
        <f>(584.6*((1258589*(19869/(247630+19869+12618+20270)))/6723747)/3192.3)</f>
        <v>2.2673708427140404E-3</v>
      </c>
      <c r="H1487" s="7"/>
      <c r="I1487" t="s">
        <v>1214</v>
      </c>
      <c r="J1487" t="s">
        <v>1215</v>
      </c>
      <c r="K1487" s="6">
        <f t="shared" si="49"/>
        <v>3.0525916405212301E-2</v>
      </c>
    </row>
    <row r="1488" spans="1:11" x14ac:dyDescent="0.2">
      <c r="A1488" t="s">
        <v>1212</v>
      </c>
      <c r="B1488">
        <v>2018</v>
      </c>
      <c r="C1488" t="s">
        <v>1241</v>
      </c>
      <c r="D1488" t="s">
        <v>1241</v>
      </c>
      <c r="E1488" s="7">
        <f t="shared" ref="E1488:E1493" si="50">(711.2*((1564930*((251112/(251112+16678+13595+20336)))/7236247)))/1836.3</f>
        <v>6.9709437116315096E-2</v>
      </c>
      <c r="F1488" s="7"/>
      <c r="G1488" s="7">
        <f t="shared" ref="G1488:G1493" si="51">(711.2*((1564930*((16678/(251112+16678+13595+20336)))/7236247)))/1836.3</f>
        <v>4.6298623412099104E-3</v>
      </c>
      <c r="H1488" s="7"/>
      <c r="I1488" t="s">
        <v>1214</v>
      </c>
      <c r="J1488" t="s">
        <v>1217</v>
      </c>
      <c r="K1488" s="6">
        <f t="shared" si="49"/>
        <v>7.4339299457525002E-2</v>
      </c>
    </row>
    <row r="1489" spans="1:13" x14ac:dyDescent="0.2">
      <c r="A1489" t="s">
        <v>1212</v>
      </c>
      <c r="B1489">
        <v>2018</v>
      </c>
      <c r="C1489" s="8" t="s">
        <v>1240</v>
      </c>
      <c r="D1489" t="s">
        <v>1241</v>
      </c>
      <c r="E1489" s="7">
        <f t="shared" si="50"/>
        <v>6.9709437116315096E-2</v>
      </c>
      <c r="F1489" s="7"/>
      <c r="G1489" s="7">
        <f t="shared" si="51"/>
        <v>4.6298623412099104E-3</v>
      </c>
      <c r="H1489" s="7"/>
      <c r="I1489" t="s">
        <v>1214</v>
      </c>
      <c r="J1489" t="s">
        <v>1217</v>
      </c>
      <c r="K1489" s="6">
        <f t="shared" si="49"/>
        <v>7.4339299457525002E-2</v>
      </c>
    </row>
    <row r="1490" spans="1:13" x14ac:dyDescent="0.2">
      <c r="A1490" t="s">
        <v>1212</v>
      </c>
      <c r="B1490">
        <v>2018</v>
      </c>
      <c r="C1490" s="8" t="s">
        <v>1240</v>
      </c>
      <c r="D1490" t="s">
        <v>1241</v>
      </c>
      <c r="E1490" s="7">
        <f t="shared" si="50"/>
        <v>6.9709437116315096E-2</v>
      </c>
      <c r="F1490" s="7"/>
      <c r="G1490" s="7">
        <f t="shared" si="51"/>
        <v>4.6298623412099104E-3</v>
      </c>
      <c r="H1490" s="7"/>
      <c r="I1490" t="s">
        <v>1214</v>
      </c>
      <c r="J1490" t="s">
        <v>1217</v>
      </c>
      <c r="K1490" s="6">
        <f t="shared" si="49"/>
        <v>7.4339299457525002E-2</v>
      </c>
    </row>
    <row r="1491" spans="1:13" x14ac:dyDescent="0.2">
      <c r="A1491" t="s">
        <v>1212</v>
      </c>
      <c r="B1491">
        <v>2018</v>
      </c>
      <c r="C1491" t="s">
        <v>1241</v>
      </c>
      <c r="D1491" t="s">
        <v>1241</v>
      </c>
      <c r="E1491" s="7">
        <f t="shared" si="50"/>
        <v>6.9709437116315096E-2</v>
      </c>
      <c r="F1491" s="7"/>
      <c r="G1491" s="7">
        <f t="shared" si="51"/>
        <v>4.6298623412099104E-3</v>
      </c>
      <c r="H1491" s="7"/>
      <c r="I1491" t="s">
        <v>1214</v>
      </c>
      <c r="J1491" t="s">
        <v>1217</v>
      </c>
      <c r="K1491" s="6">
        <f t="shared" si="49"/>
        <v>7.4339299457525002E-2</v>
      </c>
    </row>
    <row r="1492" spans="1:13" x14ac:dyDescent="0.2">
      <c r="A1492" s="9" t="s">
        <v>1212</v>
      </c>
      <c r="B1492" s="9">
        <v>2019</v>
      </c>
      <c r="C1492" s="9" t="s">
        <v>1241</v>
      </c>
      <c r="D1492" s="9" t="s">
        <v>1241</v>
      </c>
      <c r="E1492" s="10">
        <f t="shared" si="50"/>
        <v>6.9709437116315096E-2</v>
      </c>
      <c r="F1492" s="10"/>
      <c r="G1492" s="10">
        <f t="shared" si="51"/>
        <v>4.6298623412099104E-3</v>
      </c>
      <c r="H1492" s="10"/>
      <c r="I1492" s="9" t="s">
        <v>1214</v>
      </c>
      <c r="J1492" s="9" t="s">
        <v>1217</v>
      </c>
      <c r="K1492" s="6">
        <f t="shared" si="49"/>
        <v>7.4339299457525002E-2</v>
      </c>
    </row>
    <row r="1493" spans="1:13" x14ac:dyDescent="0.2">
      <c r="A1493" s="9" t="s">
        <v>1212</v>
      </c>
      <c r="B1493" s="9">
        <v>2019</v>
      </c>
      <c r="C1493" s="9" t="s">
        <v>1241</v>
      </c>
      <c r="D1493" s="9" t="s">
        <v>1241</v>
      </c>
      <c r="E1493" s="10">
        <f t="shared" si="50"/>
        <v>6.9709437116315096E-2</v>
      </c>
      <c r="F1493" s="10"/>
      <c r="G1493" s="10">
        <f t="shared" si="51"/>
        <v>4.6298623412099104E-3</v>
      </c>
      <c r="H1493" s="10"/>
      <c r="I1493" s="9" t="s">
        <v>1214</v>
      </c>
      <c r="J1493" s="9" t="s">
        <v>1217</v>
      </c>
      <c r="K1493" s="6">
        <f t="shared" si="49"/>
        <v>7.4339299457525002E-2</v>
      </c>
    </row>
    <row r="1494" spans="1:13" x14ac:dyDescent="0.2">
      <c r="A1494" t="s">
        <v>1212</v>
      </c>
      <c r="B1494">
        <v>2010</v>
      </c>
      <c r="C1494" t="s">
        <v>140</v>
      </c>
      <c r="D1494" t="s">
        <v>1244</v>
      </c>
      <c r="E1494" s="5">
        <f>((294.7*((2068027*(205064/(205064+22028+11302+3713))/2575716)))/538.3)</f>
        <v>0.37230259477490835</v>
      </c>
      <c r="G1494" s="5">
        <f>((294.7*((2068027*(22028/(205064+22028+11302+3713))/2575716)))/538.3)</f>
        <v>3.9992790337171229E-2</v>
      </c>
      <c r="I1494" t="s">
        <v>1245</v>
      </c>
      <c r="J1494" t="s">
        <v>1230</v>
      </c>
      <c r="K1494" s="6">
        <f t="shared" si="49"/>
        <v>0.41229538511207958</v>
      </c>
    </row>
    <row r="1495" spans="1:13" x14ac:dyDescent="0.2">
      <c r="A1495" t="s">
        <v>1212</v>
      </c>
      <c r="B1495">
        <v>2010</v>
      </c>
      <c r="C1495" t="s">
        <v>140</v>
      </c>
      <c r="D1495" t="s">
        <v>1246</v>
      </c>
      <c r="E1495" s="5">
        <f>((342.5*((1574418*(216837/(216837+22185+12255+3712))/2945285)))/1066.2)</f>
        <v>0.14602478069536579</v>
      </c>
      <c r="G1495" s="5">
        <f>((342.5*((1574418*(22185/(216837+22185+12255+3712))/2945285)))/1066.2)</f>
        <v>1.4940069082890325E-2</v>
      </c>
      <c r="I1495" t="s">
        <v>1247</v>
      </c>
      <c r="J1495" t="s">
        <v>1225</v>
      </c>
      <c r="K1495" s="6">
        <f t="shared" si="49"/>
        <v>0.16096484977825612</v>
      </c>
    </row>
    <row r="1496" spans="1:13" x14ac:dyDescent="0.2">
      <c r="A1496" t="s">
        <v>1212</v>
      </c>
      <c r="B1496">
        <v>2015</v>
      </c>
      <c r="C1496" t="s">
        <v>1248</v>
      </c>
      <c r="D1496" t="s">
        <v>1248</v>
      </c>
      <c r="E1496" s="5">
        <f>(1200.3*(((1384992/3111734)*(246359/(246359+21338+13358+19578)))))/2376.6</f>
        <v>0.1842087666879243</v>
      </c>
      <c r="G1496" s="5">
        <f>(1200.3*(((1384992/3111734)*(21338/(246359+21338+13358+19578)))))/2376.6</f>
        <v>1.5954954613336347E-2</v>
      </c>
      <c r="I1496" t="s">
        <v>1249</v>
      </c>
      <c r="J1496" t="s">
        <v>1221</v>
      </c>
      <c r="K1496" s="6">
        <f t="shared" si="49"/>
        <v>0.20016372130126064</v>
      </c>
    </row>
    <row r="1497" spans="1:13" x14ac:dyDescent="0.2">
      <c r="A1497" t="s">
        <v>1212</v>
      </c>
      <c r="B1497">
        <v>2016</v>
      </c>
      <c r="C1497" t="s">
        <v>1248</v>
      </c>
      <c r="D1497" t="s">
        <v>1248</v>
      </c>
      <c r="E1497" s="5">
        <f>(159.8*(((1384992/3111734)*(246359/(246359+21338+13358+19578)))))/833.7</f>
        <v>6.9910684612143545E-2</v>
      </c>
      <c r="G1497" s="5">
        <f>(159.8*(((1384992/3111734)*(21338/(246359+21338+13358+19578)))))/833.7</f>
        <v>6.0552047550684945E-3</v>
      </c>
      <c r="I1497" t="s">
        <v>1250</v>
      </c>
      <c r="J1497" t="s">
        <v>1223</v>
      </c>
      <c r="K1497" s="6">
        <f t="shared" si="49"/>
        <v>7.5965889367212033E-2</v>
      </c>
      <c r="M1497" t="s">
        <v>69</v>
      </c>
    </row>
    <row r="1498" spans="1:13" x14ac:dyDescent="0.2">
      <c r="A1498" t="s">
        <v>1212</v>
      </c>
      <c r="B1498">
        <v>2017</v>
      </c>
      <c r="C1498" t="s">
        <v>1248</v>
      </c>
      <c r="D1498" t="s">
        <v>1248</v>
      </c>
      <c r="E1498" s="5">
        <f>(584.6*((1258589*(247630/(247630+19869+12618+20270)))/6723747)/3192.3)</f>
        <v>2.8258545562498259E-2</v>
      </c>
      <c r="G1498" s="5">
        <f>(584.6*((1258589*(19869/(247630+19869+12618+20270)))/6723747)/3192.3)</f>
        <v>2.2673708427140404E-3</v>
      </c>
      <c r="I1498" t="s">
        <v>1214</v>
      </c>
      <c r="J1498" s="26" t="s">
        <v>1215</v>
      </c>
      <c r="K1498" s="6">
        <f t="shared" si="49"/>
        <v>3.0525916405212301E-2</v>
      </c>
      <c r="M1498" t="s">
        <v>69</v>
      </c>
    </row>
    <row r="1499" spans="1:13" x14ac:dyDescent="0.2">
      <c r="A1499" s="8" t="s">
        <v>1212</v>
      </c>
      <c r="B1499">
        <v>2018</v>
      </c>
      <c r="C1499" s="8" t="s">
        <v>1240</v>
      </c>
      <c r="D1499" t="s">
        <v>1248</v>
      </c>
      <c r="E1499" s="7">
        <f>(711.2*((1564930*((251112/(251112+16678+13595+20336)))/7236247)))/1836.3</f>
        <v>6.9709437116315096E-2</v>
      </c>
      <c r="F1499" s="7"/>
      <c r="G1499" s="7">
        <f>(711.2*((1564930*((16678/(251112+16678+13595+20336)))/7236247)))/1836.3</f>
        <v>4.6298623412099104E-3</v>
      </c>
      <c r="H1499" s="7"/>
      <c r="I1499" t="s">
        <v>1214</v>
      </c>
      <c r="J1499" t="s">
        <v>1217</v>
      </c>
      <c r="K1499" s="6">
        <f t="shared" si="49"/>
        <v>7.4339299457525002E-2</v>
      </c>
      <c r="M1499" t="s">
        <v>69</v>
      </c>
    </row>
    <row r="1500" spans="1:13" x14ac:dyDescent="0.2">
      <c r="A1500" t="s">
        <v>1212</v>
      </c>
      <c r="B1500">
        <v>2018</v>
      </c>
      <c r="C1500" s="8" t="s">
        <v>1240</v>
      </c>
      <c r="D1500" t="s">
        <v>1248</v>
      </c>
      <c r="E1500" s="7">
        <f>(711.2*((1564930*((251112/(251112+16678+13595+20336)))/7236247)))/1836.3</f>
        <v>6.9709437116315096E-2</v>
      </c>
      <c r="F1500" s="7"/>
      <c r="G1500" s="7">
        <f>(711.2*((1564930*((16678/(251112+16678+13595+20336)))/7236247)))/1836.3</f>
        <v>4.6298623412099104E-3</v>
      </c>
      <c r="H1500" s="7"/>
      <c r="I1500" t="s">
        <v>1214</v>
      </c>
      <c r="J1500" t="s">
        <v>1217</v>
      </c>
      <c r="K1500" s="6">
        <f t="shared" si="49"/>
        <v>7.4339299457525002E-2</v>
      </c>
    </row>
    <row r="1501" spans="1:13" x14ac:dyDescent="0.2">
      <c r="A1501" t="s">
        <v>1212</v>
      </c>
      <c r="B1501">
        <v>2018</v>
      </c>
      <c r="C1501" s="8" t="s">
        <v>1240</v>
      </c>
      <c r="D1501" t="s">
        <v>1248</v>
      </c>
      <c r="E1501" s="7">
        <f>(711.2*((1564930*((251112/(251112+16678+13595+20336)))/7236247)))/1836.3</f>
        <v>6.9709437116315096E-2</v>
      </c>
      <c r="F1501" s="7"/>
      <c r="G1501" s="7">
        <f>(711.2*((1564930*((16678/(251112+16678+13595+20336)))/7236247)))/1836.3</f>
        <v>4.6298623412099104E-3</v>
      </c>
      <c r="H1501" s="7"/>
      <c r="I1501" t="s">
        <v>1214</v>
      </c>
      <c r="J1501" t="s">
        <v>1217</v>
      </c>
      <c r="K1501" s="6">
        <f t="shared" si="49"/>
        <v>7.4339299457525002E-2</v>
      </c>
    </row>
    <row r="1502" spans="1:13" x14ac:dyDescent="0.2">
      <c r="A1502" s="9" t="s">
        <v>1212</v>
      </c>
      <c r="B1502" s="9">
        <v>2019</v>
      </c>
      <c r="C1502" s="9" t="s">
        <v>1248</v>
      </c>
      <c r="D1502" s="9" t="s">
        <v>1248</v>
      </c>
      <c r="E1502" s="10">
        <f>(711.2*((1564930*((251112/(251112+16678+13595+20336)))/7236247)))/1836.3</f>
        <v>6.9709437116315096E-2</v>
      </c>
      <c r="F1502" s="10"/>
      <c r="G1502" s="10">
        <f>(711.2*((1564930*((16678/(251112+16678+13595+20336)))/7236247)))/1836.3</f>
        <v>4.6298623412099104E-3</v>
      </c>
      <c r="H1502" s="10"/>
      <c r="I1502" s="9" t="s">
        <v>1214</v>
      </c>
      <c r="J1502" s="9" t="s">
        <v>1217</v>
      </c>
      <c r="K1502" s="6">
        <f t="shared" si="49"/>
        <v>7.4339299457525002E-2</v>
      </c>
    </row>
    <row r="1503" spans="1:13" x14ac:dyDescent="0.2">
      <c r="A1503" s="9" t="s">
        <v>1212</v>
      </c>
      <c r="B1503" s="9">
        <v>2019</v>
      </c>
      <c r="C1503" s="9" t="s">
        <v>1248</v>
      </c>
      <c r="D1503" s="9" t="s">
        <v>1248</v>
      </c>
      <c r="E1503" s="10">
        <f>(711.2*((1564930*((251112/(251112+16678+13595+20336)))/7236247)))/1836.3</f>
        <v>6.9709437116315096E-2</v>
      </c>
      <c r="F1503" s="10"/>
      <c r="G1503" s="10">
        <f>(711.2*((1564930*((16678/(251112+16678+13595+20336)))/7236247)))/1836.3</f>
        <v>4.6298623412099104E-3</v>
      </c>
      <c r="H1503" s="10"/>
      <c r="I1503" s="9" t="s">
        <v>1214</v>
      </c>
      <c r="J1503" s="9" t="s">
        <v>1217</v>
      </c>
      <c r="K1503" s="6">
        <f t="shared" si="49"/>
        <v>7.4339299457525002E-2</v>
      </c>
    </row>
    <row r="1504" spans="1:13" x14ac:dyDescent="0.2">
      <c r="A1504" t="s">
        <v>1212</v>
      </c>
      <c r="B1504">
        <v>2012</v>
      </c>
      <c r="C1504" t="s">
        <v>1251</v>
      </c>
      <c r="D1504" t="s">
        <v>1251</v>
      </c>
      <c r="E1504" s="5">
        <f>(((2605348*(230919/(230919+21802+12333+3671)))+278060)/2883408)</f>
        <v>0.87288046364101923</v>
      </c>
      <c r="G1504" s="5">
        <f>(((2605348*(21802/(230919+21802+12333+3671)))+278060)/2883408)</f>
        <v>0.16974191196189439</v>
      </c>
      <c r="I1504" t="s">
        <v>1252</v>
      </c>
      <c r="J1504" t="s">
        <v>1253</v>
      </c>
      <c r="K1504" s="6">
        <f t="shared" si="49"/>
        <v>1.0426223756029136</v>
      </c>
    </row>
    <row r="1505" spans="1:11" x14ac:dyDescent="0.2">
      <c r="A1505" t="s">
        <v>1212</v>
      </c>
      <c r="B1505">
        <v>2013</v>
      </c>
      <c r="C1505" t="s">
        <v>1251</v>
      </c>
      <c r="D1505" t="s">
        <v>1251</v>
      </c>
      <c r="E1505" s="5">
        <f>((3150541*(239921/(239921+21759+11645+3384)))+41838)/3192379</f>
        <v>0.86879403389930199</v>
      </c>
      <c r="G1505" s="5">
        <f>((3150541*(21759/(239921+21759+11645+3384)))+41838)/3192379</f>
        <v>9.0709985392711009E-2</v>
      </c>
      <c r="I1505" t="s">
        <v>1252</v>
      </c>
      <c r="J1505" t="s">
        <v>1254</v>
      </c>
      <c r="K1505" s="6">
        <f t="shared" si="49"/>
        <v>0.95950401929201301</v>
      </c>
    </row>
    <row r="1506" spans="1:11" x14ac:dyDescent="0.2">
      <c r="A1506" t="s">
        <v>1212</v>
      </c>
      <c r="B1506">
        <v>2014</v>
      </c>
      <c r="C1506" t="s">
        <v>1251</v>
      </c>
      <c r="D1506" t="s">
        <v>1251</v>
      </c>
      <c r="E1506" s="5">
        <f>((3084078*(246055/(246055+21697+13062+19236))+94036)/3178114)</f>
        <v>0.82537122949545683</v>
      </c>
      <c r="G1506" s="5">
        <f>((3084078*(21697/(246055+21697+13062+19236))+94036)/3178114)</f>
        <v>9.9760308246112775E-2</v>
      </c>
      <c r="I1506" t="s">
        <v>1252</v>
      </c>
      <c r="J1506" t="s">
        <v>1254</v>
      </c>
      <c r="K1506" s="6">
        <f t="shared" si="49"/>
        <v>0.92513153774156964</v>
      </c>
    </row>
    <row r="1507" spans="1:11" x14ac:dyDescent="0.2">
      <c r="A1507" t="s">
        <v>1212</v>
      </c>
      <c r="B1507">
        <v>2016</v>
      </c>
      <c r="C1507" t="s">
        <v>1251</v>
      </c>
      <c r="D1507" t="s">
        <v>1251</v>
      </c>
      <c r="E1507" s="5">
        <f>(((1546081)*(247430/(247430+20115+13249+19742))+(39714))/1585826)</f>
        <v>0.82770484099884556</v>
      </c>
      <c r="G1507" s="5">
        <f>(((1546081)*(20115/(247430+20115+13249+19742)))/1585826)</f>
        <v>6.525296410614545E-2</v>
      </c>
      <c r="I1507" t="s">
        <v>1255</v>
      </c>
      <c r="J1507" t="s">
        <v>1256</v>
      </c>
      <c r="K1507" s="6">
        <f t="shared" si="49"/>
        <v>0.89295780510499101</v>
      </c>
    </row>
    <row r="1508" spans="1:11" x14ac:dyDescent="0.2">
      <c r="A1508" t="s">
        <v>1212</v>
      </c>
      <c r="B1508">
        <v>2017</v>
      </c>
      <c r="C1508" t="s">
        <v>1251</v>
      </c>
      <c r="D1508" t="s">
        <v>1251</v>
      </c>
      <c r="E1508" s="5">
        <f>(((1277919)*(247630/(247630+19869+12618+20270))+(200775))/1478763)</f>
        <v>0.84817712732884931</v>
      </c>
      <c r="G1508" s="5">
        <f>(((1277919)*(19869/(247630+19869+12618+20270)))/1478763)</f>
        <v>5.716097498385031E-2</v>
      </c>
      <c r="I1508" t="s">
        <v>1255</v>
      </c>
      <c r="J1508" t="s">
        <v>1256</v>
      </c>
      <c r="K1508" s="6">
        <f t="shared" si="49"/>
        <v>0.90533810231269962</v>
      </c>
    </row>
    <row r="1509" spans="1:11" x14ac:dyDescent="0.2">
      <c r="A1509" t="s">
        <v>1212</v>
      </c>
      <c r="B1509">
        <v>2018</v>
      </c>
      <c r="C1509" s="8" t="s">
        <v>1240</v>
      </c>
      <c r="D1509" t="s">
        <v>1251</v>
      </c>
      <c r="E1509" s="18">
        <f>(1609144*((251112/(251112+16678+13595+20336)))+8834)/(1609144+8834+92)</f>
        <v>0.8331340103499304</v>
      </c>
      <c r="F1509" s="7"/>
      <c r="G1509" s="18">
        <f>(1609144*((16678/(251112+16678+13595+20336))))/(1609144+8834+92)</f>
        <v>5.4971303522482619E-2</v>
      </c>
      <c r="H1509" s="7"/>
      <c r="I1509" t="s">
        <v>1252</v>
      </c>
      <c r="J1509" t="s">
        <v>1257</v>
      </c>
      <c r="K1509" s="6">
        <f t="shared" si="49"/>
        <v>0.88810531387241298</v>
      </c>
    </row>
    <row r="1510" spans="1:11" x14ac:dyDescent="0.2">
      <c r="A1510" t="s">
        <v>1212</v>
      </c>
      <c r="B1510">
        <v>2018</v>
      </c>
      <c r="C1510" s="8" t="s">
        <v>1240</v>
      </c>
      <c r="D1510" t="s">
        <v>1251</v>
      </c>
      <c r="E1510" s="18">
        <f>(1609144*((251112/(251112+16678+13595+20336)))+8834)/(1609144+8834+92)</f>
        <v>0.8331340103499304</v>
      </c>
      <c r="F1510" s="7"/>
      <c r="G1510" s="18">
        <f>(1609144*((16678/(251112+16678+13595+20336))))/(1609144+8834+92)</f>
        <v>5.4971303522482619E-2</v>
      </c>
      <c r="H1510" s="7"/>
      <c r="I1510" t="s">
        <v>1252</v>
      </c>
      <c r="J1510" t="s">
        <v>1257</v>
      </c>
      <c r="K1510" s="6">
        <f t="shared" si="49"/>
        <v>0.88810531387241298</v>
      </c>
    </row>
    <row r="1511" spans="1:11" x14ac:dyDescent="0.2">
      <c r="A1511" t="s">
        <v>1212</v>
      </c>
      <c r="B1511">
        <v>2015</v>
      </c>
      <c r="C1511" t="s">
        <v>1258</v>
      </c>
      <c r="D1511" t="s">
        <v>1258</v>
      </c>
      <c r="E1511" s="5">
        <f>(((3084078*(246359/(246359+21338+13358+19578)))+94036)/3178114)</f>
        <v>0.8248092945033868</v>
      </c>
      <c r="G1511" s="5">
        <f>((3084078*(21338/(246359+21338+13358+19578))+94036)/3178114)</f>
        <v>9.8465414532250897E-2</v>
      </c>
      <c r="I1511" t="s">
        <v>1252</v>
      </c>
      <c r="J1511" t="s">
        <v>1259</v>
      </c>
      <c r="K1511" s="6">
        <f t="shared" si="49"/>
        <v>0.92327470903563769</v>
      </c>
    </row>
    <row r="1512" spans="1:11" x14ac:dyDescent="0.2">
      <c r="A1512" t="s">
        <v>1212</v>
      </c>
      <c r="B1512">
        <v>2016</v>
      </c>
      <c r="C1512" t="s">
        <v>1258</v>
      </c>
      <c r="D1512" t="s">
        <v>1258</v>
      </c>
      <c r="E1512" s="5">
        <f>(((1546081)*(247430/(247430+20115+13249+19742))+(39714))/1585826)</f>
        <v>0.82770484099884556</v>
      </c>
      <c r="G1512" s="5">
        <f>(((1546081)*(20115/(247430+20115+13249+19742)))/1585826)</f>
        <v>6.525296410614545E-2</v>
      </c>
      <c r="I1512" t="s">
        <v>1255</v>
      </c>
      <c r="J1512" t="s">
        <v>1256</v>
      </c>
      <c r="K1512" s="6">
        <f t="shared" si="49"/>
        <v>0.89295780510499101</v>
      </c>
    </row>
    <row r="1513" spans="1:11" x14ac:dyDescent="0.2">
      <c r="A1513" t="s">
        <v>1212</v>
      </c>
      <c r="B1513">
        <v>2017</v>
      </c>
      <c r="C1513" t="s">
        <v>1258</v>
      </c>
      <c r="D1513" t="s">
        <v>1258</v>
      </c>
      <c r="E1513" s="5">
        <f>(((1277919)*(247630/(247630+19869+12618+20270))+(200775))/1478763)</f>
        <v>0.84817712732884931</v>
      </c>
      <c r="G1513" s="5">
        <f>(((1277919)*(19869/(247630+19869+12618+20270)))/1478763)</f>
        <v>5.716097498385031E-2</v>
      </c>
      <c r="I1513" t="s">
        <v>1255</v>
      </c>
      <c r="J1513" t="s">
        <v>1256</v>
      </c>
      <c r="K1513" s="6">
        <f t="shared" si="49"/>
        <v>0.90533810231269962</v>
      </c>
    </row>
    <row r="1514" spans="1:11" x14ac:dyDescent="0.2">
      <c r="A1514" t="s">
        <v>1212</v>
      </c>
      <c r="B1514">
        <v>2018</v>
      </c>
      <c r="C1514" t="s">
        <v>1258</v>
      </c>
      <c r="D1514" t="s">
        <v>1258</v>
      </c>
      <c r="E1514" s="18">
        <f t="shared" ref="E1514:E1520" si="52">(1609144*((251112/(251112+16678+13595+20336)))+8834)/(1609144+8834+92)</f>
        <v>0.8331340103499304</v>
      </c>
      <c r="F1514" s="7"/>
      <c r="G1514" s="18">
        <f t="shared" ref="G1514:G1520" si="53">(1609144*((16678/(251112+16678+13595+20336))))/(1609144+8834+92)</f>
        <v>5.4971303522482619E-2</v>
      </c>
      <c r="H1514" s="7"/>
      <c r="I1514" t="s">
        <v>1252</v>
      </c>
      <c r="J1514" t="s">
        <v>1257</v>
      </c>
      <c r="K1514" s="6">
        <f t="shared" si="49"/>
        <v>0.88810531387241298</v>
      </c>
    </row>
    <row r="1515" spans="1:11" x14ac:dyDescent="0.2">
      <c r="A1515" t="s">
        <v>1212</v>
      </c>
      <c r="B1515">
        <v>2018</v>
      </c>
      <c r="C1515" s="8" t="s">
        <v>1240</v>
      </c>
      <c r="D1515" t="s">
        <v>1258</v>
      </c>
      <c r="E1515" s="18">
        <f t="shared" si="52"/>
        <v>0.8331340103499304</v>
      </c>
      <c r="F1515" s="18"/>
      <c r="G1515" s="18">
        <f t="shared" si="53"/>
        <v>5.4971303522482619E-2</v>
      </c>
      <c r="H1515" s="18"/>
      <c r="I1515" t="s">
        <v>1252</v>
      </c>
      <c r="J1515" t="s">
        <v>1257</v>
      </c>
      <c r="K1515" s="6">
        <f t="shared" si="49"/>
        <v>0.88810531387241298</v>
      </c>
    </row>
    <row r="1516" spans="1:11" x14ac:dyDescent="0.2">
      <c r="A1516" t="s">
        <v>1212</v>
      </c>
      <c r="B1516">
        <v>2018</v>
      </c>
      <c r="C1516" t="s">
        <v>1260</v>
      </c>
      <c r="D1516" t="s">
        <v>1260</v>
      </c>
      <c r="E1516" s="18">
        <f t="shared" si="52"/>
        <v>0.8331340103499304</v>
      </c>
      <c r="F1516" s="18"/>
      <c r="G1516" s="18">
        <f t="shared" si="53"/>
        <v>5.4971303522482619E-2</v>
      </c>
      <c r="H1516" s="18"/>
      <c r="I1516" t="s">
        <v>1252</v>
      </c>
      <c r="J1516" t="s">
        <v>1257</v>
      </c>
      <c r="K1516" s="6">
        <f t="shared" si="49"/>
        <v>0.88810531387241298</v>
      </c>
    </row>
    <row r="1517" spans="1:11" x14ac:dyDescent="0.2">
      <c r="A1517" t="s">
        <v>1212</v>
      </c>
      <c r="B1517">
        <v>2018</v>
      </c>
      <c r="C1517" s="8" t="s">
        <v>1240</v>
      </c>
      <c r="D1517" t="s">
        <v>1258</v>
      </c>
      <c r="E1517" s="18">
        <f t="shared" si="52"/>
        <v>0.8331340103499304</v>
      </c>
      <c r="F1517" s="18"/>
      <c r="G1517" s="18">
        <f t="shared" si="53"/>
        <v>5.4971303522482619E-2</v>
      </c>
      <c r="H1517" s="18"/>
      <c r="I1517" t="s">
        <v>1252</v>
      </c>
      <c r="J1517" t="s">
        <v>1257</v>
      </c>
      <c r="K1517" s="6">
        <f t="shared" si="49"/>
        <v>0.88810531387241298</v>
      </c>
    </row>
    <row r="1518" spans="1:11" x14ac:dyDescent="0.2">
      <c r="A1518" t="s">
        <v>1212</v>
      </c>
      <c r="B1518">
        <v>2018</v>
      </c>
      <c r="C1518" t="s">
        <v>1260</v>
      </c>
      <c r="D1518" t="s">
        <v>1260</v>
      </c>
      <c r="E1518" s="18">
        <f t="shared" si="52"/>
        <v>0.8331340103499304</v>
      </c>
      <c r="F1518" s="18"/>
      <c r="G1518" s="18">
        <f t="shared" si="53"/>
        <v>5.4971303522482619E-2</v>
      </c>
      <c r="H1518" s="18"/>
      <c r="I1518" t="s">
        <v>1252</v>
      </c>
      <c r="J1518" t="s">
        <v>1257</v>
      </c>
      <c r="K1518" s="6">
        <f t="shared" si="49"/>
        <v>0.88810531387241298</v>
      </c>
    </row>
    <row r="1519" spans="1:11" x14ac:dyDescent="0.2">
      <c r="A1519" s="9" t="s">
        <v>1212</v>
      </c>
      <c r="B1519" s="9">
        <v>2019</v>
      </c>
      <c r="C1519" s="9" t="s">
        <v>1258</v>
      </c>
      <c r="D1519" s="9" t="s">
        <v>1258</v>
      </c>
      <c r="E1519" s="19">
        <f t="shared" si="52"/>
        <v>0.8331340103499304</v>
      </c>
      <c r="F1519" s="19"/>
      <c r="G1519" s="19">
        <f t="shared" si="53"/>
        <v>5.4971303522482619E-2</v>
      </c>
      <c r="H1519" s="19"/>
      <c r="I1519" s="9" t="s">
        <v>1252</v>
      </c>
      <c r="J1519" s="9" t="s">
        <v>1257</v>
      </c>
      <c r="K1519" s="6">
        <f t="shared" si="49"/>
        <v>0.88810531387241298</v>
      </c>
    </row>
    <row r="1520" spans="1:11" x14ac:dyDescent="0.2">
      <c r="A1520" s="9" t="s">
        <v>1212</v>
      </c>
      <c r="B1520" s="9">
        <v>2019</v>
      </c>
      <c r="C1520" s="9" t="s">
        <v>1258</v>
      </c>
      <c r="D1520" s="9" t="s">
        <v>1258</v>
      </c>
      <c r="E1520" s="19">
        <f t="shared" si="52"/>
        <v>0.8331340103499304</v>
      </c>
      <c r="F1520" s="19"/>
      <c r="G1520" s="19">
        <f t="shared" si="53"/>
        <v>5.4971303522482619E-2</v>
      </c>
      <c r="H1520" s="19"/>
      <c r="I1520" s="9" t="s">
        <v>1252</v>
      </c>
      <c r="J1520" s="9" t="s">
        <v>1257</v>
      </c>
      <c r="K1520" s="6">
        <f t="shared" si="49"/>
        <v>0.88810531387241298</v>
      </c>
    </row>
    <row r="1521" spans="1:11" x14ac:dyDescent="0.2">
      <c r="A1521" t="s">
        <v>1212</v>
      </c>
      <c r="B1521">
        <v>2016</v>
      </c>
      <c r="C1521" t="s">
        <v>1261</v>
      </c>
      <c r="D1521" t="s">
        <v>1261</v>
      </c>
      <c r="E1521" s="5">
        <v>0</v>
      </c>
      <c r="I1521" t="s">
        <v>1262</v>
      </c>
      <c r="K1521" s="6">
        <f t="shared" si="49"/>
        <v>0</v>
      </c>
    </row>
    <row r="1522" spans="1:11" x14ac:dyDescent="0.2">
      <c r="A1522" t="s">
        <v>1212</v>
      </c>
      <c r="B1522">
        <v>2017</v>
      </c>
      <c r="C1522" t="s">
        <v>1261</v>
      </c>
      <c r="D1522" t="s">
        <v>1261</v>
      </c>
      <c r="E1522" s="5">
        <v>0</v>
      </c>
      <c r="I1522" t="s">
        <v>1262</v>
      </c>
      <c r="K1522" s="6">
        <f t="shared" si="49"/>
        <v>0</v>
      </c>
    </row>
    <row r="1523" spans="1:11" x14ac:dyDescent="0.2">
      <c r="A1523" t="s">
        <v>1212</v>
      </c>
      <c r="B1523">
        <v>2018</v>
      </c>
      <c r="C1523" t="s">
        <v>1261</v>
      </c>
      <c r="D1523" t="s">
        <v>1261</v>
      </c>
      <c r="E1523" s="5">
        <v>0</v>
      </c>
      <c r="I1523" t="s">
        <v>1262</v>
      </c>
      <c r="K1523" s="6">
        <f t="shared" si="49"/>
        <v>0</v>
      </c>
    </row>
    <row r="1524" spans="1:11" x14ac:dyDescent="0.2">
      <c r="A1524" t="s">
        <v>1212</v>
      </c>
      <c r="B1524">
        <v>2011</v>
      </c>
      <c r="C1524" t="s">
        <v>1263</v>
      </c>
      <c r="D1524" t="s">
        <v>1263</v>
      </c>
      <c r="E1524" s="5">
        <f>(1574418*(((2605348*(230919/(230919+21802+12333+3671)))+278060)/2883408))/2945285</f>
        <v>0.46660296501179555</v>
      </c>
      <c r="G1524" s="5">
        <f>(1574418*(((3150541*(21759/(239921+21759+11645+3384)))+41838)/3192379)/2945285)</f>
        <v>4.848951248589569E-2</v>
      </c>
      <c r="I1524" t="s">
        <v>1264</v>
      </c>
      <c r="J1524" t="s">
        <v>1265</v>
      </c>
      <c r="K1524" s="6">
        <f t="shared" si="49"/>
        <v>0.51509247749769127</v>
      </c>
    </row>
    <row r="1525" spans="1:11" x14ac:dyDescent="0.2">
      <c r="A1525" t="s">
        <v>1212</v>
      </c>
      <c r="B1525">
        <v>2012</v>
      </c>
      <c r="C1525" t="s">
        <v>1263</v>
      </c>
      <c r="D1525" t="s">
        <v>1263</v>
      </c>
      <c r="E1525" s="5">
        <f>((2774733/4934348)*(230919/(230919+21802+12333+3671)))</f>
        <v>0.48321790767816469</v>
      </c>
      <c r="G1525" s="5">
        <f>((2774733/4934348)*(21802/(230919+21802+12333+3671)))</f>
        <v>4.562256385658757E-2</v>
      </c>
      <c r="I1525" t="s">
        <v>1266</v>
      </c>
      <c r="J1525" t="s">
        <v>1267</v>
      </c>
      <c r="K1525" s="6">
        <f t="shared" si="49"/>
        <v>0.52884047153475222</v>
      </c>
    </row>
    <row r="1526" spans="1:11" x14ac:dyDescent="0.2">
      <c r="A1526" t="s">
        <v>1212</v>
      </c>
      <c r="B1526">
        <v>2013</v>
      </c>
      <c r="C1526" t="s">
        <v>1263</v>
      </c>
      <c r="D1526" t="s">
        <v>1263</v>
      </c>
      <c r="E1526" s="5">
        <f>(3175961*((3150541*(239921/(239921+21759+11645+3384)))+41838)/3192379)/6598276</f>
        <v>0.41817831941204969</v>
      </c>
      <c r="G1526" s="5">
        <f>(3175961*(((3150541*(21759/(239921+21759+11645+3384)))+41838)/3192379)/6598276)</f>
        <v>4.366161341505264E-2</v>
      </c>
      <c r="I1526" t="s">
        <v>1266</v>
      </c>
      <c r="J1526" t="s">
        <v>1268</v>
      </c>
      <c r="K1526" s="6">
        <f t="shared" si="49"/>
        <v>0.46183993282710234</v>
      </c>
    </row>
    <row r="1527" spans="1:11" x14ac:dyDescent="0.2">
      <c r="A1527" t="s">
        <v>1212</v>
      </c>
      <c r="B1527">
        <v>2014</v>
      </c>
      <c r="C1527" t="s">
        <v>1263</v>
      </c>
      <c r="D1527" t="s">
        <v>1263</v>
      </c>
      <c r="E1527" s="5">
        <f>((3062754/5634574)*(246055/(246055+21697+13062+19236)))</f>
        <v>0.44574819404316102</v>
      </c>
      <c r="G1527" s="5">
        <f>((3062754/5634574)*(21697/(246055+21697+13062+19236)))</f>
        <v>3.9305840426548798E-2</v>
      </c>
      <c r="I1527" t="s">
        <v>1264</v>
      </c>
      <c r="J1527" t="s">
        <v>1269</v>
      </c>
      <c r="K1527" s="6">
        <f t="shared" si="49"/>
        <v>0.48505403446970979</v>
      </c>
    </row>
    <row r="1528" spans="1:11" x14ac:dyDescent="0.2">
      <c r="A1528" t="s">
        <v>1212</v>
      </c>
      <c r="B1528">
        <v>2015</v>
      </c>
      <c r="C1528" t="s">
        <v>1263</v>
      </c>
      <c r="D1528" t="s">
        <v>1263</v>
      </c>
      <c r="E1528" s="5">
        <f>(2302875/4618919)*(246359/(246359+21338+13358+19578))</f>
        <v>0.40856560299936223</v>
      </c>
      <c r="G1528" s="5">
        <f>(2302875/4618919)*(21338/(246359+21338+13358+19578))</f>
        <v>3.5387271570352173E-2</v>
      </c>
      <c r="I1528" t="s">
        <v>1264</v>
      </c>
      <c r="J1528" t="s">
        <v>1270</v>
      </c>
      <c r="K1528" s="6">
        <f t="shared" si="49"/>
        <v>0.44395287456971438</v>
      </c>
    </row>
    <row r="1529" spans="1:11" x14ac:dyDescent="0.2">
      <c r="A1529" t="s">
        <v>1212</v>
      </c>
      <c r="B1529">
        <v>2016</v>
      </c>
      <c r="C1529" t="s">
        <v>1263</v>
      </c>
      <c r="D1529" t="s">
        <v>1263</v>
      </c>
      <c r="E1529" s="5">
        <f>((1384992/3111734)*(247430/(247430+20115+13249+19742)))</f>
        <v>0.3664381255871943</v>
      </c>
      <c r="G1529" s="5">
        <f>((1384992/3111734)*(20115/(247430+20115+13249+19742)))</f>
        <v>2.9789851255653772E-2</v>
      </c>
      <c r="I1529" t="s">
        <v>1264</v>
      </c>
      <c r="J1529" t="s">
        <v>1271</v>
      </c>
      <c r="K1529" s="6">
        <f t="shared" si="49"/>
        <v>0.39622797684284805</v>
      </c>
    </row>
    <row r="1530" spans="1:11" x14ac:dyDescent="0.2">
      <c r="A1530" t="s">
        <v>1212</v>
      </c>
      <c r="B1530">
        <v>2017</v>
      </c>
      <c r="C1530" t="s">
        <v>1263</v>
      </c>
      <c r="D1530" t="s">
        <v>1263</v>
      </c>
      <c r="E1530" s="5">
        <f>((1384992/3111734)*(246359/(246359+21338+13358+19578)))</f>
        <v>0.36473427885572013</v>
      </c>
      <c r="G1530" s="5">
        <f>((1384992/3111734)*(21338/(246359+21338+13358+19578)))</f>
        <v>3.1590889889240324E-2</v>
      </c>
      <c r="I1530" t="s">
        <v>1272</v>
      </c>
      <c r="J1530" t="s">
        <v>1270</v>
      </c>
      <c r="K1530" s="6">
        <f t="shared" si="49"/>
        <v>0.39632516874496043</v>
      </c>
    </row>
    <row r="1531" spans="1:11" x14ac:dyDescent="0.2">
      <c r="A1531" t="s">
        <v>1212</v>
      </c>
      <c r="B1531">
        <v>2017</v>
      </c>
      <c r="C1531" t="s">
        <v>1273</v>
      </c>
      <c r="D1531" t="s">
        <v>1273</v>
      </c>
      <c r="E1531" s="5">
        <f>((1384992/3111734)*(246359/(246359+21338+13358+19578)))</f>
        <v>0.36473427885572013</v>
      </c>
      <c r="G1531" s="5">
        <f>((1384992/3111734)*(21338/(246359+21338+13358+19578)))</f>
        <v>3.1590889889240324E-2</v>
      </c>
      <c r="I1531" t="s">
        <v>1272</v>
      </c>
      <c r="J1531" t="s">
        <v>1270</v>
      </c>
      <c r="K1531" s="6">
        <f t="shared" si="49"/>
        <v>0.39632516874496043</v>
      </c>
    </row>
    <row r="1532" spans="1:11" x14ac:dyDescent="0.2">
      <c r="A1532" t="s">
        <v>1212</v>
      </c>
      <c r="B1532">
        <v>2018</v>
      </c>
      <c r="C1532" t="s">
        <v>1273</v>
      </c>
      <c r="D1532" t="s">
        <v>1273</v>
      </c>
      <c r="E1532" s="7">
        <f>(1564930*((251112/(251112+16678+13595+20336)))/7236247)</f>
        <v>0.17998796312807844</v>
      </c>
      <c r="F1532" s="7"/>
      <c r="G1532" s="7">
        <f>(1564930*((16678/(251112+16678+13595+20336)))/7236247)</f>
        <v>1.1954184782288749E-2</v>
      </c>
      <c r="H1532" s="7"/>
      <c r="I1532" t="s">
        <v>1264</v>
      </c>
      <c r="J1532" t="s">
        <v>1274</v>
      </c>
      <c r="K1532" s="6">
        <f t="shared" si="49"/>
        <v>0.19194214791036718</v>
      </c>
    </row>
    <row r="1533" spans="1:11" x14ac:dyDescent="0.2">
      <c r="A1533" t="s">
        <v>1212</v>
      </c>
      <c r="B1533">
        <v>2018</v>
      </c>
      <c r="C1533" t="s">
        <v>1273</v>
      </c>
      <c r="D1533" t="s">
        <v>1273</v>
      </c>
      <c r="E1533" s="7">
        <f>(1564930*((251112/(251112+16678+13595+20336)))/7236247)</f>
        <v>0.17998796312807844</v>
      </c>
      <c r="F1533" s="7"/>
      <c r="G1533" s="7">
        <f>(1564930*((16678/(251112+16678+13595+20336)))/7236247)</f>
        <v>1.1954184782288749E-2</v>
      </c>
      <c r="H1533" s="7"/>
      <c r="I1533" t="s">
        <v>1264</v>
      </c>
      <c r="J1533" t="s">
        <v>1274</v>
      </c>
      <c r="K1533" s="6">
        <f t="shared" si="49"/>
        <v>0.19194214791036718</v>
      </c>
    </row>
    <row r="1534" spans="1:11" x14ac:dyDescent="0.2">
      <c r="A1534" t="s">
        <v>1212</v>
      </c>
      <c r="B1534">
        <v>2018</v>
      </c>
      <c r="C1534" t="s">
        <v>1273</v>
      </c>
      <c r="D1534" t="s">
        <v>1273</v>
      </c>
      <c r="E1534" s="7">
        <f>(1564930*((251112/(251112+16678+13595+20336)))/7236247)</f>
        <v>0.17998796312807844</v>
      </c>
      <c r="F1534" s="7"/>
      <c r="G1534" s="7">
        <f>(1564930*((16678/(251112+16678+13595+20336)))/7236247)</f>
        <v>1.1954184782288749E-2</v>
      </c>
      <c r="H1534" s="7"/>
      <c r="I1534" t="s">
        <v>1264</v>
      </c>
      <c r="J1534" t="s">
        <v>1274</v>
      </c>
      <c r="K1534" s="6">
        <f t="shared" si="49"/>
        <v>0.19194214791036718</v>
      </c>
    </row>
    <row r="1535" spans="1:11" x14ac:dyDescent="0.2">
      <c r="A1535" t="s">
        <v>1212</v>
      </c>
      <c r="B1535">
        <v>2012</v>
      </c>
      <c r="C1535" t="s">
        <v>1275</v>
      </c>
      <c r="D1535" t="s">
        <v>1275</v>
      </c>
      <c r="E1535" s="5">
        <f>((2774733/4934348)*(230919/(230919+21802+12333+3671)))</f>
        <v>0.48321790767816469</v>
      </c>
      <c r="G1535" s="5">
        <f>((2774733/4934348)*(21802/(230919+21802+12333+3671)))</f>
        <v>4.562256385658757E-2</v>
      </c>
      <c r="I1535" t="s">
        <v>1266</v>
      </c>
      <c r="J1535" t="s">
        <v>1267</v>
      </c>
      <c r="K1535" s="6">
        <f t="shared" si="49"/>
        <v>0.52884047153475222</v>
      </c>
    </row>
    <row r="1536" spans="1:11" x14ac:dyDescent="0.2">
      <c r="A1536" t="s">
        <v>1212</v>
      </c>
      <c r="B1536">
        <v>2014</v>
      </c>
      <c r="C1536" t="s">
        <v>1275</v>
      </c>
      <c r="D1536" t="s">
        <v>1275</v>
      </c>
      <c r="E1536" s="5">
        <f>((3062754/5634574)*(246055/(246055+21697+13062+19236)))</f>
        <v>0.44574819404316102</v>
      </c>
      <c r="G1536" s="5">
        <f>((3062754/5634574)*(21697/(246055+21697+13062+19236)))</f>
        <v>3.9305840426548798E-2</v>
      </c>
      <c r="I1536" t="s">
        <v>1264</v>
      </c>
      <c r="J1536" t="s">
        <v>1269</v>
      </c>
      <c r="K1536" s="6">
        <f t="shared" si="49"/>
        <v>0.48505403446970979</v>
      </c>
    </row>
    <row r="1537" spans="1:11" x14ac:dyDescent="0.2">
      <c r="A1537" t="s">
        <v>1212</v>
      </c>
      <c r="B1537">
        <v>2015</v>
      </c>
      <c r="C1537" t="s">
        <v>1275</v>
      </c>
      <c r="D1537" t="s">
        <v>1275</v>
      </c>
      <c r="E1537" s="5">
        <f>(2302875/4618919)*(246359/(246359+21338+13358+19578))</f>
        <v>0.40856560299936223</v>
      </c>
      <c r="G1537" s="5">
        <f>(2302875/4618919)*(21338/(246359+21338+13358+19578))</f>
        <v>3.5387271570352173E-2</v>
      </c>
      <c r="I1537" t="s">
        <v>1264</v>
      </c>
      <c r="J1537" t="s">
        <v>1270</v>
      </c>
      <c r="K1537" s="6">
        <f t="shared" si="49"/>
        <v>0.44395287456971438</v>
      </c>
    </row>
    <row r="1538" spans="1:11" x14ac:dyDescent="0.2">
      <c r="A1538" t="s">
        <v>1212</v>
      </c>
      <c r="B1538">
        <v>2016</v>
      </c>
      <c r="C1538" t="s">
        <v>1275</v>
      </c>
      <c r="D1538" t="s">
        <v>1275</v>
      </c>
      <c r="E1538" s="5">
        <f>((1384992/3111734)*(247430/(247430+20115+13249+19742)))</f>
        <v>0.3664381255871943</v>
      </c>
      <c r="G1538" s="5">
        <f>((1384992/3111734)*(20115/(247430+20115+13249+19742)))</f>
        <v>2.9789851255653772E-2</v>
      </c>
      <c r="I1538" t="s">
        <v>1264</v>
      </c>
      <c r="J1538" t="s">
        <v>1271</v>
      </c>
      <c r="K1538" s="6">
        <f t="shared" ref="K1538:K1601" si="54">SUM(E1538:H1538)</f>
        <v>0.39622797684284805</v>
      </c>
    </row>
    <row r="1539" spans="1:11" x14ac:dyDescent="0.2">
      <c r="A1539" t="s">
        <v>1212</v>
      </c>
      <c r="B1539">
        <v>2017</v>
      </c>
      <c r="C1539" t="s">
        <v>1275</v>
      </c>
      <c r="D1539" t="s">
        <v>1275</v>
      </c>
      <c r="E1539" s="5">
        <f>((1384992/3111734)*(246359/(246359+21338+13358+19578)))</f>
        <v>0.36473427885572013</v>
      </c>
      <c r="G1539" s="5">
        <f>((1384992/3111734)*(21338/(246359+21338+13358+19578)))</f>
        <v>3.1590889889240324E-2</v>
      </c>
      <c r="I1539" t="s">
        <v>1272</v>
      </c>
      <c r="J1539" t="s">
        <v>1270</v>
      </c>
      <c r="K1539" s="6">
        <f t="shared" si="54"/>
        <v>0.39632516874496043</v>
      </c>
    </row>
    <row r="1540" spans="1:11" x14ac:dyDescent="0.2">
      <c r="A1540" t="s">
        <v>1212</v>
      </c>
      <c r="B1540">
        <v>2018</v>
      </c>
      <c r="C1540" t="s">
        <v>1275</v>
      </c>
      <c r="D1540" t="s">
        <v>1275</v>
      </c>
      <c r="E1540" s="7">
        <f t="shared" ref="E1540:E1546" si="55">(1564930*((251112/(251112+16678+13595+20336)))/7236247)</f>
        <v>0.17998796312807844</v>
      </c>
      <c r="F1540" s="7"/>
      <c r="G1540" s="7">
        <f t="shared" ref="G1540:G1546" si="56">(1564930*((16678/(251112+16678+13595+20336)))/7236247)</f>
        <v>1.1954184782288749E-2</v>
      </c>
      <c r="H1540" s="7"/>
      <c r="I1540" t="s">
        <v>1264</v>
      </c>
      <c r="J1540" t="s">
        <v>1274</v>
      </c>
      <c r="K1540" s="6">
        <f t="shared" si="54"/>
        <v>0.19194214791036718</v>
      </c>
    </row>
    <row r="1541" spans="1:11" x14ac:dyDescent="0.2">
      <c r="A1541" t="s">
        <v>1212</v>
      </c>
      <c r="B1541">
        <v>2018</v>
      </c>
      <c r="C1541" s="8" t="s">
        <v>1240</v>
      </c>
      <c r="D1541" t="s">
        <v>1275</v>
      </c>
      <c r="E1541" s="7">
        <f t="shared" si="55"/>
        <v>0.17998796312807844</v>
      </c>
      <c r="F1541" s="7"/>
      <c r="G1541" s="7">
        <f t="shared" si="56"/>
        <v>1.1954184782288749E-2</v>
      </c>
      <c r="H1541" s="7"/>
      <c r="I1541" t="s">
        <v>1264</v>
      </c>
      <c r="J1541" t="s">
        <v>1274</v>
      </c>
      <c r="K1541" s="6">
        <f t="shared" si="54"/>
        <v>0.19194214791036718</v>
      </c>
    </row>
    <row r="1542" spans="1:11" x14ac:dyDescent="0.2">
      <c r="A1542" t="s">
        <v>1212</v>
      </c>
      <c r="B1542">
        <v>2018</v>
      </c>
      <c r="C1542" t="s">
        <v>1276</v>
      </c>
      <c r="D1542" t="s">
        <v>1276</v>
      </c>
      <c r="E1542" s="7">
        <f t="shared" si="55"/>
        <v>0.17998796312807844</v>
      </c>
      <c r="F1542" s="7"/>
      <c r="G1542" s="7">
        <f t="shared" si="56"/>
        <v>1.1954184782288749E-2</v>
      </c>
      <c r="H1542" s="7"/>
      <c r="I1542" t="s">
        <v>1264</v>
      </c>
      <c r="J1542" t="s">
        <v>1274</v>
      </c>
      <c r="K1542" s="6">
        <f t="shared" si="54"/>
        <v>0.19194214791036718</v>
      </c>
    </row>
    <row r="1543" spans="1:11" x14ac:dyDescent="0.2">
      <c r="A1543" t="s">
        <v>1212</v>
      </c>
      <c r="B1543">
        <v>2018</v>
      </c>
      <c r="C1543" s="8" t="s">
        <v>1240</v>
      </c>
      <c r="D1543" t="s">
        <v>1275</v>
      </c>
      <c r="E1543" s="7">
        <f t="shared" si="55"/>
        <v>0.17998796312807844</v>
      </c>
      <c r="F1543" s="7"/>
      <c r="G1543" s="7">
        <f t="shared" si="56"/>
        <v>1.1954184782288749E-2</v>
      </c>
      <c r="H1543" s="7"/>
      <c r="I1543" t="s">
        <v>1264</v>
      </c>
      <c r="J1543" t="s">
        <v>1274</v>
      </c>
      <c r="K1543" s="6">
        <f t="shared" si="54"/>
        <v>0.19194214791036718</v>
      </c>
    </row>
    <row r="1544" spans="1:11" x14ac:dyDescent="0.2">
      <c r="A1544" t="s">
        <v>1212</v>
      </c>
      <c r="B1544">
        <v>2018</v>
      </c>
      <c r="C1544" t="s">
        <v>1276</v>
      </c>
      <c r="D1544" t="s">
        <v>1276</v>
      </c>
      <c r="E1544" s="7">
        <f t="shared" si="55"/>
        <v>0.17998796312807844</v>
      </c>
      <c r="F1544" s="7"/>
      <c r="G1544" s="7">
        <f t="shared" si="56"/>
        <v>1.1954184782288749E-2</v>
      </c>
      <c r="H1544" s="7"/>
      <c r="I1544" t="s">
        <v>1264</v>
      </c>
      <c r="J1544" t="s">
        <v>1274</v>
      </c>
      <c r="K1544" s="6">
        <f t="shared" si="54"/>
        <v>0.19194214791036718</v>
      </c>
    </row>
    <row r="1545" spans="1:11" x14ac:dyDescent="0.2">
      <c r="A1545" s="9" t="s">
        <v>1212</v>
      </c>
      <c r="B1545" s="9">
        <v>2019</v>
      </c>
      <c r="C1545" s="9" t="s">
        <v>1275</v>
      </c>
      <c r="D1545" s="9" t="s">
        <v>1275</v>
      </c>
      <c r="E1545" s="10">
        <f t="shared" si="55"/>
        <v>0.17998796312807844</v>
      </c>
      <c r="F1545" s="10"/>
      <c r="G1545" s="10">
        <f t="shared" si="56"/>
        <v>1.1954184782288749E-2</v>
      </c>
      <c r="H1545" s="10"/>
      <c r="I1545" s="9" t="s">
        <v>1264</v>
      </c>
      <c r="J1545" s="9" t="s">
        <v>1274</v>
      </c>
      <c r="K1545" s="6">
        <f t="shared" si="54"/>
        <v>0.19194214791036718</v>
      </c>
    </row>
    <row r="1546" spans="1:11" x14ac:dyDescent="0.2">
      <c r="A1546" s="9" t="s">
        <v>1212</v>
      </c>
      <c r="B1546" s="9">
        <v>2019</v>
      </c>
      <c r="C1546" s="9" t="s">
        <v>1275</v>
      </c>
      <c r="D1546" s="9" t="s">
        <v>1275</v>
      </c>
      <c r="E1546" s="10">
        <f t="shared" si="55"/>
        <v>0.17998796312807844</v>
      </c>
      <c r="F1546" s="10"/>
      <c r="G1546" s="10">
        <f t="shared" si="56"/>
        <v>1.1954184782288749E-2</v>
      </c>
      <c r="H1546" s="10"/>
      <c r="I1546" s="9" t="s">
        <v>1264</v>
      </c>
      <c r="J1546" s="9" t="s">
        <v>1274</v>
      </c>
      <c r="K1546" s="6">
        <f t="shared" si="54"/>
        <v>0.19194214791036718</v>
      </c>
    </row>
    <row r="1547" spans="1:11" x14ac:dyDescent="0.2">
      <c r="A1547" t="s">
        <v>1212</v>
      </c>
      <c r="B1547">
        <v>2015</v>
      </c>
      <c r="C1547" t="s">
        <v>1277</v>
      </c>
      <c r="D1547" t="s">
        <v>1277</v>
      </c>
      <c r="E1547" s="5">
        <v>1</v>
      </c>
      <c r="I1547" t="s">
        <v>1278</v>
      </c>
      <c r="J1547" t="s">
        <v>1279</v>
      </c>
      <c r="K1547" s="6">
        <f t="shared" si="54"/>
        <v>1</v>
      </c>
    </row>
    <row r="1548" spans="1:11" x14ac:dyDescent="0.2">
      <c r="A1548" t="s">
        <v>1212</v>
      </c>
      <c r="B1548">
        <v>2016</v>
      </c>
      <c r="C1548" t="s">
        <v>1277</v>
      </c>
      <c r="D1548" t="s">
        <v>1277</v>
      </c>
      <c r="E1548" s="5">
        <v>1</v>
      </c>
      <c r="I1548" t="s">
        <v>1278</v>
      </c>
      <c r="J1548" t="s">
        <v>1279</v>
      </c>
      <c r="K1548" s="6">
        <f t="shared" si="54"/>
        <v>1</v>
      </c>
    </row>
    <row r="1549" spans="1:11" x14ac:dyDescent="0.2">
      <c r="A1549" t="s">
        <v>1212</v>
      </c>
      <c r="B1549">
        <v>2017</v>
      </c>
      <c r="C1549" t="s">
        <v>1277</v>
      </c>
      <c r="D1549" t="s">
        <v>1277</v>
      </c>
      <c r="E1549" s="5">
        <v>1</v>
      </c>
      <c r="I1549" t="s">
        <v>1278</v>
      </c>
      <c r="J1549" t="s">
        <v>1279</v>
      </c>
      <c r="K1549" s="6">
        <f t="shared" si="54"/>
        <v>1</v>
      </c>
    </row>
    <row r="1550" spans="1:11" x14ac:dyDescent="0.2">
      <c r="A1550" s="8" t="s">
        <v>1212</v>
      </c>
      <c r="B1550">
        <v>2018</v>
      </c>
      <c r="C1550" s="8" t="s">
        <v>1240</v>
      </c>
      <c r="D1550" t="s">
        <v>1277</v>
      </c>
      <c r="E1550" s="7">
        <v>1</v>
      </c>
      <c r="F1550" s="7"/>
      <c r="G1550" s="7"/>
      <c r="H1550" s="7"/>
      <c r="I1550" t="s">
        <v>1278</v>
      </c>
      <c r="J1550" t="s">
        <v>1279</v>
      </c>
      <c r="K1550" s="6">
        <f t="shared" si="54"/>
        <v>1</v>
      </c>
    </row>
    <row r="1551" spans="1:11" x14ac:dyDescent="0.2">
      <c r="A1551" t="s">
        <v>1212</v>
      </c>
      <c r="B1551">
        <v>2018</v>
      </c>
      <c r="C1551" s="8" t="s">
        <v>1240</v>
      </c>
      <c r="D1551" t="s">
        <v>1277</v>
      </c>
      <c r="E1551" s="7">
        <v>1</v>
      </c>
      <c r="F1551" s="7"/>
      <c r="G1551" s="7"/>
      <c r="H1551" s="7"/>
      <c r="I1551" t="s">
        <v>1278</v>
      </c>
      <c r="J1551" t="s">
        <v>1279</v>
      </c>
      <c r="K1551" s="6">
        <f t="shared" si="54"/>
        <v>1</v>
      </c>
    </row>
    <row r="1552" spans="1:11" x14ac:dyDescent="0.2">
      <c r="A1552" t="s">
        <v>1212</v>
      </c>
      <c r="B1552">
        <v>2018</v>
      </c>
      <c r="C1552" s="8" t="s">
        <v>1240</v>
      </c>
      <c r="D1552" t="s">
        <v>1277</v>
      </c>
      <c r="E1552" s="7">
        <v>1</v>
      </c>
      <c r="F1552" s="7"/>
      <c r="G1552" s="7"/>
      <c r="H1552" s="7"/>
      <c r="I1552" t="s">
        <v>1278</v>
      </c>
      <c r="J1552" t="s">
        <v>1279</v>
      </c>
      <c r="K1552" s="6">
        <f t="shared" si="54"/>
        <v>1</v>
      </c>
    </row>
    <row r="1553" spans="1:11" x14ac:dyDescent="0.2">
      <c r="A1553" t="s">
        <v>1212</v>
      </c>
      <c r="B1553">
        <v>2018</v>
      </c>
      <c r="C1553" t="s">
        <v>1277</v>
      </c>
      <c r="D1553" t="s">
        <v>1277</v>
      </c>
      <c r="E1553" s="7">
        <v>1</v>
      </c>
      <c r="F1553" s="7"/>
      <c r="G1553" s="7"/>
      <c r="H1553" s="7"/>
      <c r="I1553" t="s">
        <v>1278</v>
      </c>
      <c r="J1553" t="s">
        <v>1279</v>
      </c>
      <c r="K1553" s="6">
        <f t="shared" si="54"/>
        <v>1</v>
      </c>
    </row>
    <row r="1554" spans="1:11" x14ac:dyDescent="0.2">
      <c r="A1554" s="9" t="s">
        <v>1212</v>
      </c>
      <c r="B1554" s="9">
        <v>2019</v>
      </c>
      <c r="C1554" s="9" t="s">
        <v>1277</v>
      </c>
      <c r="D1554" s="9" t="s">
        <v>1277</v>
      </c>
      <c r="E1554" s="10">
        <v>1</v>
      </c>
      <c r="F1554" s="10"/>
      <c r="G1554" s="10"/>
      <c r="H1554" s="10"/>
      <c r="I1554" s="9" t="s">
        <v>1278</v>
      </c>
      <c r="J1554" s="9" t="s">
        <v>1279</v>
      </c>
      <c r="K1554" s="6">
        <f t="shared" si="54"/>
        <v>1</v>
      </c>
    </row>
    <row r="1555" spans="1:11" x14ac:dyDescent="0.2">
      <c r="A1555" s="9" t="s">
        <v>1212</v>
      </c>
      <c r="B1555" s="9">
        <v>2019</v>
      </c>
      <c r="C1555" s="9" t="s">
        <v>1277</v>
      </c>
      <c r="D1555" s="9" t="s">
        <v>1277</v>
      </c>
      <c r="E1555" s="10">
        <v>1</v>
      </c>
      <c r="F1555" s="10"/>
      <c r="G1555" s="10"/>
      <c r="H1555" s="10"/>
      <c r="I1555" s="9" t="s">
        <v>1278</v>
      </c>
      <c r="J1555" s="9" t="s">
        <v>1279</v>
      </c>
      <c r="K1555" s="6">
        <f t="shared" si="54"/>
        <v>1</v>
      </c>
    </row>
    <row r="1556" spans="1:11" x14ac:dyDescent="0.2">
      <c r="A1556" t="s">
        <v>1212</v>
      </c>
      <c r="B1556">
        <v>2011</v>
      </c>
      <c r="C1556" t="s">
        <v>1280</v>
      </c>
      <c r="D1556" t="s">
        <v>1280</v>
      </c>
      <c r="E1556" s="5">
        <v>1</v>
      </c>
      <c r="I1556" t="s">
        <v>1278</v>
      </c>
      <c r="J1556" t="s">
        <v>1279</v>
      </c>
      <c r="K1556" s="6">
        <f t="shared" si="54"/>
        <v>1</v>
      </c>
    </row>
    <row r="1557" spans="1:11" x14ac:dyDescent="0.2">
      <c r="A1557" t="s">
        <v>1212</v>
      </c>
      <c r="B1557">
        <v>2010</v>
      </c>
      <c r="C1557" t="s">
        <v>1216</v>
      </c>
      <c r="D1557" t="s">
        <v>1281</v>
      </c>
      <c r="E1557" s="5">
        <v>1</v>
      </c>
      <c r="I1557" t="s">
        <v>1278</v>
      </c>
      <c r="J1557" t="s">
        <v>1279</v>
      </c>
      <c r="K1557" s="6">
        <f t="shared" si="54"/>
        <v>1</v>
      </c>
    </row>
    <row r="1558" spans="1:11" x14ac:dyDescent="0.2">
      <c r="A1558" t="s">
        <v>1212</v>
      </c>
      <c r="B1558">
        <v>2017</v>
      </c>
      <c r="C1558" t="s">
        <v>140</v>
      </c>
      <c r="D1558" t="s">
        <v>1282</v>
      </c>
      <c r="E1558" s="5">
        <f>(1258589*(247630/(247630+19869+12618+20270)))/6723747</f>
        <v>0.15431022066227026</v>
      </c>
      <c r="G1558" s="5">
        <f>(1258589*(19869/(247630+19869+12618+20270)))/6723747</f>
        <v>1.2381334145049661E-2</v>
      </c>
      <c r="I1558" t="s">
        <v>1264</v>
      </c>
      <c r="J1558" t="s">
        <v>1283</v>
      </c>
      <c r="K1558" s="6">
        <f t="shared" si="54"/>
        <v>0.16669155480731992</v>
      </c>
    </row>
    <row r="1559" spans="1:11" x14ac:dyDescent="0.2">
      <c r="A1559" t="s">
        <v>1212</v>
      </c>
      <c r="B1559">
        <v>2017</v>
      </c>
      <c r="C1559" t="s">
        <v>1284</v>
      </c>
      <c r="D1559" t="s">
        <v>1284</v>
      </c>
      <c r="E1559" s="5">
        <f>(1258589*(247630/(247630+19869+12618+20270)))/6723747</f>
        <v>0.15431022066227026</v>
      </c>
      <c r="G1559" s="5">
        <f>(1258589*(19869/(247630+19869+12618+20270)))/6723747</f>
        <v>1.2381334145049661E-2</v>
      </c>
      <c r="I1559" t="s">
        <v>1264</v>
      </c>
      <c r="J1559" t="s">
        <v>1283</v>
      </c>
      <c r="K1559" s="6">
        <f t="shared" si="54"/>
        <v>0.16669155480731992</v>
      </c>
    </row>
    <row r="1560" spans="1:11" x14ac:dyDescent="0.2">
      <c r="A1560" t="s">
        <v>1212</v>
      </c>
      <c r="B1560">
        <v>2011</v>
      </c>
      <c r="C1560" t="s">
        <v>140</v>
      </c>
      <c r="D1560" t="s">
        <v>1285</v>
      </c>
      <c r="E1560" s="5">
        <v>1</v>
      </c>
      <c r="I1560" t="s">
        <v>1286</v>
      </c>
      <c r="J1560" t="s">
        <v>1287</v>
      </c>
      <c r="K1560" s="6">
        <f t="shared" si="54"/>
        <v>1</v>
      </c>
    </row>
    <row r="1561" spans="1:11" x14ac:dyDescent="0.2">
      <c r="A1561" t="s">
        <v>1212</v>
      </c>
      <c r="B1561">
        <v>2011</v>
      </c>
      <c r="C1561" t="s">
        <v>1216</v>
      </c>
      <c r="D1561" t="s">
        <v>1288</v>
      </c>
      <c r="E1561" s="5">
        <v>1</v>
      </c>
      <c r="I1561" t="s">
        <v>1286</v>
      </c>
      <c r="J1561" t="s">
        <v>1287</v>
      </c>
      <c r="K1561" s="6">
        <f t="shared" si="54"/>
        <v>1</v>
      </c>
    </row>
    <row r="1562" spans="1:11" x14ac:dyDescent="0.2">
      <c r="A1562" t="s">
        <v>1212</v>
      </c>
      <c r="B1562">
        <v>2015</v>
      </c>
      <c r="C1562" t="s">
        <v>1289</v>
      </c>
      <c r="D1562" t="s">
        <v>1288</v>
      </c>
      <c r="E1562" s="5">
        <v>1</v>
      </c>
      <c r="I1562" t="s">
        <v>1286</v>
      </c>
      <c r="J1562" t="s">
        <v>1287</v>
      </c>
      <c r="K1562" s="6">
        <f t="shared" si="54"/>
        <v>1</v>
      </c>
    </row>
    <row r="1563" spans="1:11" x14ac:dyDescent="0.2">
      <c r="A1563" t="s">
        <v>1212</v>
      </c>
      <c r="B1563">
        <v>2016</v>
      </c>
      <c r="C1563" t="s">
        <v>1289</v>
      </c>
      <c r="D1563" t="s">
        <v>1288</v>
      </c>
      <c r="E1563" s="5">
        <v>1</v>
      </c>
      <c r="I1563" t="s">
        <v>1286</v>
      </c>
      <c r="J1563" t="s">
        <v>1287</v>
      </c>
      <c r="K1563" s="6">
        <f t="shared" si="54"/>
        <v>1</v>
      </c>
    </row>
    <row r="1564" spans="1:11" x14ac:dyDescent="0.2">
      <c r="A1564" t="s">
        <v>1212</v>
      </c>
      <c r="B1564">
        <v>2017</v>
      </c>
      <c r="C1564" t="s">
        <v>1288</v>
      </c>
      <c r="D1564" t="s">
        <v>1288</v>
      </c>
      <c r="E1564" s="5">
        <v>1</v>
      </c>
      <c r="I1564" t="s">
        <v>1286</v>
      </c>
      <c r="J1564" t="s">
        <v>1287</v>
      </c>
      <c r="K1564" s="6">
        <f t="shared" si="54"/>
        <v>1</v>
      </c>
    </row>
    <row r="1565" spans="1:11" x14ac:dyDescent="0.2">
      <c r="A1565" t="s">
        <v>1212</v>
      </c>
      <c r="B1565">
        <v>2018</v>
      </c>
      <c r="C1565" t="s">
        <v>1288</v>
      </c>
      <c r="D1565" t="s">
        <v>1288</v>
      </c>
      <c r="E1565" s="7">
        <v>1</v>
      </c>
      <c r="F1565" s="7"/>
      <c r="G1565" s="7"/>
      <c r="H1565" s="7"/>
      <c r="I1565" t="s">
        <v>1286</v>
      </c>
      <c r="J1565" t="s">
        <v>1287</v>
      </c>
      <c r="K1565" s="6">
        <f t="shared" si="54"/>
        <v>1</v>
      </c>
    </row>
    <row r="1566" spans="1:11" x14ac:dyDescent="0.2">
      <c r="A1566" t="s">
        <v>1212</v>
      </c>
      <c r="B1566">
        <v>2018</v>
      </c>
      <c r="C1566" s="8" t="s">
        <v>1240</v>
      </c>
      <c r="D1566" t="s">
        <v>1288</v>
      </c>
      <c r="E1566" s="7">
        <v>1</v>
      </c>
      <c r="F1566" s="7"/>
      <c r="G1566" s="7"/>
      <c r="H1566" s="7"/>
      <c r="I1566" t="s">
        <v>1286</v>
      </c>
      <c r="J1566" t="s">
        <v>1287</v>
      </c>
      <c r="K1566" s="6">
        <f t="shared" si="54"/>
        <v>1</v>
      </c>
    </row>
    <row r="1567" spans="1:11" x14ac:dyDescent="0.2">
      <c r="A1567" t="s">
        <v>1212</v>
      </c>
      <c r="B1567">
        <v>2018</v>
      </c>
      <c r="C1567" t="s">
        <v>1289</v>
      </c>
      <c r="D1567" t="s">
        <v>1289</v>
      </c>
      <c r="E1567" s="7">
        <v>1</v>
      </c>
      <c r="F1567" s="7"/>
      <c r="G1567" s="7"/>
      <c r="H1567" s="7"/>
      <c r="I1567" t="s">
        <v>1286</v>
      </c>
      <c r="J1567" t="s">
        <v>1287</v>
      </c>
      <c r="K1567" s="6">
        <f t="shared" si="54"/>
        <v>1</v>
      </c>
    </row>
    <row r="1568" spans="1:11" x14ac:dyDescent="0.2">
      <c r="A1568" t="s">
        <v>1212</v>
      </c>
      <c r="B1568">
        <v>2018</v>
      </c>
      <c r="C1568" s="8" t="s">
        <v>1240</v>
      </c>
      <c r="D1568" t="s">
        <v>1288</v>
      </c>
      <c r="E1568" s="7">
        <v>1</v>
      </c>
      <c r="F1568" s="7"/>
      <c r="G1568" s="7"/>
      <c r="H1568" s="7"/>
      <c r="I1568" t="s">
        <v>1286</v>
      </c>
      <c r="J1568" t="s">
        <v>1287</v>
      </c>
      <c r="K1568" s="6">
        <f t="shared" si="54"/>
        <v>1</v>
      </c>
    </row>
    <row r="1569" spans="1:11" x14ac:dyDescent="0.2">
      <c r="A1569" t="s">
        <v>1212</v>
      </c>
      <c r="B1569">
        <v>2018</v>
      </c>
      <c r="C1569" t="s">
        <v>1289</v>
      </c>
      <c r="D1569" t="s">
        <v>1289</v>
      </c>
      <c r="E1569" s="7">
        <v>1</v>
      </c>
      <c r="F1569" s="7"/>
      <c r="G1569" s="7"/>
      <c r="H1569" s="7"/>
      <c r="I1569" t="s">
        <v>1286</v>
      </c>
      <c r="J1569" t="s">
        <v>1287</v>
      </c>
      <c r="K1569" s="6">
        <f t="shared" si="54"/>
        <v>1</v>
      </c>
    </row>
    <row r="1570" spans="1:11" x14ac:dyDescent="0.2">
      <c r="A1570" s="9" t="s">
        <v>1212</v>
      </c>
      <c r="B1570" s="9">
        <v>2019</v>
      </c>
      <c r="C1570" s="9" t="s">
        <v>1288</v>
      </c>
      <c r="D1570" s="9" t="s">
        <v>1288</v>
      </c>
      <c r="E1570" s="10">
        <v>1</v>
      </c>
      <c r="F1570" s="10"/>
      <c r="G1570" s="10"/>
      <c r="H1570" s="10"/>
      <c r="I1570" s="9" t="s">
        <v>1286</v>
      </c>
      <c r="J1570" s="9" t="s">
        <v>1287</v>
      </c>
      <c r="K1570" s="6">
        <f t="shared" si="54"/>
        <v>1</v>
      </c>
    </row>
    <row r="1571" spans="1:11" x14ac:dyDescent="0.2">
      <c r="A1571" s="9" t="s">
        <v>1212</v>
      </c>
      <c r="B1571" s="9">
        <v>2019</v>
      </c>
      <c r="C1571" s="9" t="s">
        <v>1288</v>
      </c>
      <c r="D1571" s="9" t="s">
        <v>1288</v>
      </c>
      <c r="E1571" s="10">
        <v>1</v>
      </c>
      <c r="F1571" s="10"/>
      <c r="G1571" s="10"/>
      <c r="H1571" s="10"/>
      <c r="I1571" s="9" t="s">
        <v>1286</v>
      </c>
      <c r="J1571" s="9" t="s">
        <v>1287</v>
      </c>
      <c r="K1571" s="6">
        <f t="shared" si="54"/>
        <v>1</v>
      </c>
    </row>
    <row r="1572" spans="1:11" x14ac:dyDescent="0.2">
      <c r="A1572" t="s">
        <v>1290</v>
      </c>
      <c r="B1572">
        <v>2010</v>
      </c>
      <c r="C1572" t="s">
        <v>1291</v>
      </c>
      <c r="D1572" t="s">
        <v>1291</v>
      </c>
      <c r="E1572" s="7"/>
      <c r="F1572" s="7"/>
      <c r="G1572" s="7"/>
      <c r="H1572" s="7">
        <v>1</v>
      </c>
      <c r="I1572" t="s">
        <v>1292</v>
      </c>
      <c r="J1572" t="s">
        <v>1293</v>
      </c>
      <c r="K1572" s="6">
        <f t="shared" si="54"/>
        <v>1</v>
      </c>
    </row>
    <row r="1573" spans="1:11" x14ac:dyDescent="0.2">
      <c r="A1573" t="s">
        <v>1290</v>
      </c>
      <c r="B1573">
        <v>2015</v>
      </c>
      <c r="C1573" t="s">
        <v>1291</v>
      </c>
      <c r="D1573" t="s">
        <v>1291</v>
      </c>
      <c r="H1573" s="5">
        <v>1</v>
      </c>
      <c r="I1573" t="s">
        <v>1292</v>
      </c>
      <c r="J1573" t="s">
        <v>1293</v>
      </c>
      <c r="K1573" s="6">
        <f t="shared" si="54"/>
        <v>1</v>
      </c>
    </row>
    <row r="1574" spans="1:11" x14ac:dyDescent="0.2">
      <c r="A1574" t="s">
        <v>1290</v>
      </c>
      <c r="B1574">
        <v>2016</v>
      </c>
      <c r="C1574" t="s">
        <v>1291</v>
      </c>
      <c r="D1574" t="s">
        <v>1291</v>
      </c>
      <c r="H1574" s="5">
        <v>1</v>
      </c>
      <c r="I1574" t="s">
        <v>1292</v>
      </c>
      <c r="J1574" t="s">
        <v>1293</v>
      </c>
      <c r="K1574" s="6">
        <f t="shared" si="54"/>
        <v>1</v>
      </c>
    </row>
    <row r="1575" spans="1:11" x14ac:dyDescent="0.2">
      <c r="A1575" t="s">
        <v>1290</v>
      </c>
      <c r="B1575">
        <v>2010</v>
      </c>
      <c r="C1575" t="s">
        <v>1291</v>
      </c>
      <c r="D1575" t="s">
        <v>1294</v>
      </c>
      <c r="H1575" s="5">
        <v>1</v>
      </c>
      <c r="I1575" t="s">
        <v>1292</v>
      </c>
      <c r="J1575" t="s">
        <v>1293</v>
      </c>
      <c r="K1575" s="6">
        <f t="shared" si="54"/>
        <v>1</v>
      </c>
    </row>
    <row r="1576" spans="1:11" x14ac:dyDescent="0.2">
      <c r="A1576" t="s">
        <v>1295</v>
      </c>
      <c r="B1576">
        <v>2013</v>
      </c>
      <c r="C1576" t="s">
        <v>1296</v>
      </c>
      <c r="D1576" t="s">
        <v>1297</v>
      </c>
      <c r="E1576" s="5">
        <v>1</v>
      </c>
      <c r="I1576" t="s">
        <v>1298</v>
      </c>
      <c r="J1576" t="s">
        <v>1299</v>
      </c>
      <c r="K1576" s="6">
        <f t="shared" si="54"/>
        <v>1</v>
      </c>
    </row>
    <row r="1577" spans="1:11" x14ac:dyDescent="0.2">
      <c r="A1577" t="s">
        <v>1295</v>
      </c>
      <c r="B1577">
        <v>2014</v>
      </c>
      <c r="C1577" t="s">
        <v>1296</v>
      </c>
      <c r="D1577" t="s">
        <v>1297</v>
      </c>
      <c r="E1577" s="5">
        <v>1</v>
      </c>
      <c r="I1577" t="s">
        <v>1298</v>
      </c>
      <c r="J1577" t="s">
        <v>1299</v>
      </c>
      <c r="K1577" s="6">
        <f t="shared" si="54"/>
        <v>1</v>
      </c>
    </row>
    <row r="1578" spans="1:11" x14ac:dyDescent="0.2">
      <c r="A1578" t="s">
        <v>1295</v>
      </c>
      <c r="B1578">
        <v>2015</v>
      </c>
      <c r="C1578" t="s">
        <v>1296</v>
      </c>
      <c r="D1578" t="s">
        <v>1297</v>
      </c>
      <c r="E1578" s="5">
        <v>1</v>
      </c>
      <c r="I1578" t="s">
        <v>1298</v>
      </c>
      <c r="J1578" t="s">
        <v>1299</v>
      </c>
      <c r="K1578" s="6">
        <f t="shared" si="54"/>
        <v>1</v>
      </c>
    </row>
    <row r="1579" spans="1:11" x14ac:dyDescent="0.2">
      <c r="A1579" t="s">
        <v>1295</v>
      </c>
      <c r="B1579">
        <v>2016</v>
      </c>
      <c r="C1579" t="s">
        <v>1296</v>
      </c>
      <c r="D1579" t="s">
        <v>1297</v>
      </c>
      <c r="E1579" s="5">
        <v>1</v>
      </c>
      <c r="I1579" t="s">
        <v>1298</v>
      </c>
      <c r="J1579" t="s">
        <v>1299</v>
      </c>
      <c r="K1579" s="6">
        <f t="shared" si="54"/>
        <v>1</v>
      </c>
    </row>
    <row r="1580" spans="1:11" x14ac:dyDescent="0.2">
      <c r="A1580" s="8" t="s">
        <v>1295</v>
      </c>
      <c r="B1580">
        <v>2017</v>
      </c>
      <c r="C1580" s="8" t="s">
        <v>1300</v>
      </c>
      <c r="D1580" t="s">
        <v>1297</v>
      </c>
      <c r="E1580" s="5">
        <v>1</v>
      </c>
      <c r="I1580" t="s">
        <v>1298</v>
      </c>
      <c r="J1580" t="s">
        <v>1299</v>
      </c>
      <c r="K1580" s="6">
        <f t="shared" si="54"/>
        <v>1</v>
      </c>
    </row>
    <row r="1581" spans="1:11" x14ac:dyDescent="0.2">
      <c r="A1581" s="8" t="s">
        <v>1295</v>
      </c>
      <c r="B1581">
        <v>2018</v>
      </c>
      <c r="C1581" s="8" t="s">
        <v>1300</v>
      </c>
      <c r="D1581" t="s">
        <v>1297</v>
      </c>
      <c r="E1581" s="5">
        <v>1</v>
      </c>
      <c r="I1581" t="s">
        <v>1298</v>
      </c>
      <c r="J1581" t="s">
        <v>1299</v>
      </c>
      <c r="K1581" s="6">
        <f t="shared" si="54"/>
        <v>1</v>
      </c>
    </row>
    <row r="1582" spans="1:11" x14ac:dyDescent="0.2">
      <c r="A1582" s="8" t="s">
        <v>1295</v>
      </c>
      <c r="B1582">
        <v>2016</v>
      </c>
      <c r="C1582" s="8" t="s">
        <v>1300</v>
      </c>
      <c r="D1582" t="s">
        <v>1301</v>
      </c>
      <c r="E1582" s="5">
        <v>1</v>
      </c>
      <c r="I1582" t="s">
        <v>1298</v>
      </c>
      <c r="J1582" t="s">
        <v>1299</v>
      </c>
      <c r="K1582" s="6">
        <f t="shared" si="54"/>
        <v>1</v>
      </c>
    </row>
    <row r="1583" spans="1:11" x14ac:dyDescent="0.2">
      <c r="A1583" s="8" t="s">
        <v>1295</v>
      </c>
      <c r="B1583">
        <v>2017</v>
      </c>
      <c r="C1583" s="8" t="s">
        <v>1300</v>
      </c>
      <c r="D1583" t="s">
        <v>1301</v>
      </c>
      <c r="E1583" s="5">
        <v>1</v>
      </c>
      <c r="I1583" t="s">
        <v>1298</v>
      </c>
      <c r="J1583" t="s">
        <v>1299</v>
      </c>
      <c r="K1583" s="6">
        <f t="shared" si="54"/>
        <v>1</v>
      </c>
    </row>
    <row r="1584" spans="1:11" x14ac:dyDescent="0.2">
      <c r="A1584" s="8" t="s">
        <v>1295</v>
      </c>
      <c r="B1584">
        <v>2018</v>
      </c>
      <c r="C1584" s="8" t="s">
        <v>1300</v>
      </c>
      <c r="D1584" t="s">
        <v>1301</v>
      </c>
      <c r="E1584" s="5">
        <v>1</v>
      </c>
      <c r="I1584" t="s">
        <v>1298</v>
      </c>
      <c r="J1584" t="s">
        <v>1299</v>
      </c>
      <c r="K1584" s="6">
        <f t="shared" si="54"/>
        <v>1</v>
      </c>
    </row>
    <row r="1585" spans="1:11" x14ac:dyDescent="0.2">
      <c r="A1585" t="s">
        <v>1295</v>
      </c>
      <c r="B1585">
        <v>2016</v>
      </c>
      <c r="C1585" t="s">
        <v>1300</v>
      </c>
      <c r="D1585" t="s">
        <v>1302</v>
      </c>
      <c r="E1585" s="5">
        <v>0.125</v>
      </c>
      <c r="G1585" s="5">
        <v>0.125</v>
      </c>
      <c r="H1585" s="5">
        <v>0.5</v>
      </c>
      <c r="I1585" t="s">
        <v>1303</v>
      </c>
      <c r="J1585" t="s">
        <v>1304</v>
      </c>
      <c r="K1585" s="6">
        <f t="shared" si="54"/>
        <v>0.75</v>
      </c>
    </row>
    <row r="1586" spans="1:11" x14ac:dyDescent="0.2">
      <c r="A1586" t="s">
        <v>1295</v>
      </c>
      <c r="B1586">
        <v>2012</v>
      </c>
      <c r="C1586" t="s">
        <v>1305</v>
      </c>
      <c r="D1586" t="s">
        <v>1305</v>
      </c>
      <c r="E1586" s="5">
        <v>0.125</v>
      </c>
      <c r="G1586" s="5">
        <v>0.125</v>
      </c>
      <c r="H1586" s="5">
        <v>0.5</v>
      </c>
      <c r="I1586" t="s">
        <v>1306</v>
      </c>
      <c r="J1586" t="s">
        <v>1307</v>
      </c>
      <c r="K1586" s="6">
        <f t="shared" si="54"/>
        <v>0.75</v>
      </c>
    </row>
    <row r="1587" spans="1:11" x14ac:dyDescent="0.2">
      <c r="A1587" t="s">
        <v>1295</v>
      </c>
      <c r="B1587">
        <v>2013</v>
      </c>
      <c r="C1587" t="s">
        <v>1305</v>
      </c>
      <c r="D1587" t="s">
        <v>1305</v>
      </c>
      <c r="E1587" s="5">
        <v>0.125</v>
      </c>
      <c r="G1587" s="5">
        <v>0.125</v>
      </c>
      <c r="H1587" s="5">
        <v>0.5</v>
      </c>
      <c r="I1587" t="s">
        <v>1306</v>
      </c>
      <c r="J1587" t="s">
        <v>1307</v>
      </c>
      <c r="K1587" s="6">
        <f t="shared" si="54"/>
        <v>0.75</v>
      </c>
    </row>
    <row r="1588" spans="1:11" x14ac:dyDescent="0.2">
      <c r="A1588" t="s">
        <v>1295</v>
      </c>
      <c r="B1588">
        <v>2013</v>
      </c>
      <c r="C1588" t="s">
        <v>1305</v>
      </c>
      <c r="D1588" t="s">
        <v>1305</v>
      </c>
      <c r="E1588" s="5">
        <v>0.125</v>
      </c>
      <c r="G1588" s="5">
        <v>0.125</v>
      </c>
      <c r="H1588" s="5">
        <v>0.5</v>
      </c>
      <c r="I1588" t="s">
        <v>1306</v>
      </c>
      <c r="J1588" t="s">
        <v>1307</v>
      </c>
      <c r="K1588" s="6">
        <f t="shared" si="54"/>
        <v>0.75</v>
      </c>
    </row>
    <row r="1589" spans="1:11" x14ac:dyDescent="0.2">
      <c r="A1589" t="s">
        <v>1308</v>
      </c>
      <c r="B1589">
        <v>2015</v>
      </c>
      <c r="C1589" t="s">
        <v>1029</v>
      </c>
      <c r="D1589" t="s">
        <v>1309</v>
      </c>
      <c r="E1589" s="5">
        <v>0.5</v>
      </c>
      <c r="G1589" s="5">
        <v>0.5</v>
      </c>
      <c r="I1589" t="s">
        <v>1310</v>
      </c>
      <c r="J1589" t="s">
        <v>1311</v>
      </c>
      <c r="K1589" s="6">
        <f t="shared" si="54"/>
        <v>1</v>
      </c>
    </row>
    <row r="1590" spans="1:11" x14ac:dyDescent="0.2">
      <c r="A1590" t="s">
        <v>1308</v>
      </c>
      <c r="B1590">
        <v>2013</v>
      </c>
      <c r="C1590" t="s">
        <v>1312</v>
      </c>
      <c r="D1590" t="s">
        <v>1313</v>
      </c>
      <c r="H1590" s="5">
        <v>1</v>
      </c>
      <c r="I1590" t="s">
        <v>1314</v>
      </c>
      <c r="K1590" s="6">
        <f t="shared" si="54"/>
        <v>1</v>
      </c>
    </row>
    <row r="1591" spans="1:11" x14ac:dyDescent="0.2">
      <c r="A1591" t="s">
        <v>1308</v>
      </c>
      <c r="B1591">
        <v>2012</v>
      </c>
      <c r="C1591" t="s">
        <v>1029</v>
      </c>
      <c r="D1591" t="s">
        <v>1315</v>
      </c>
      <c r="E1591" s="5">
        <v>1</v>
      </c>
      <c r="I1591" t="s">
        <v>1316</v>
      </c>
      <c r="J1591" t="s">
        <v>1317</v>
      </c>
      <c r="K1591" s="6">
        <f t="shared" si="54"/>
        <v>1</v>
      </c>
    </row>
    <row r="1592" spans="1:11" x14ac:dyDescent="0.2">
      <c r="A1592" t="s">
        <v>1308</v>
      </c>
      <c r="B1592">
        <v>2018</v>
      </c>
      <c r="C1592" s="8" t="s">
        <v>1029</v>
      </c>
      <c r="D1592" t="s">
        <v>1315</v>
      </c>
      <c r="E1592" s="5">
        <v>1</v>
      </c>
      <c r="I1592" t="s">
        <v>1316</v>
      </c>
      <c r="J1592" t="s">
        <v>1317</v>
      </c>
      <c r="K1592" s="6">
        <f t="shared" si="54"/>
        <v>1</v>
      </c>
    </row>
    <row r="1593" spans="1:11" x14ac:dyDescent="0.2">
      <c r="A1593" t="s">
        <v>1308</v>
      </c>
      <c r="B1593">
        <v>2011</v>
      </c>
      <c r="C1593" t="s">
        <v>1029</v>
      </c>
      <c r="D1593" t="s">
        <v>1318</v>
      </c>
      <c r="E1593" s="5">
        <v>1</v>
      </c>
      <c r="I1593" t="s">
        <v>1316</v>
      </c>
      <c r="J1593" t="s">
        <v>1317</v>
      </c>
      <c r="K1593" s="6">
        <f t="shared" si="54"/>
        <v>1</v>
      </c>
    </row>
    <row r="1594" spans="1:11" x14ac:dyDescent="0.2">
      <c r="A1594" t="s">
        <v>1308</v>
      </c>
      <c r="B1594">
        <v>2017</v>
      </c>
      <c r="C1594" s="8" t="s">
        <v>1290</v>
      </c>
      <c r="D1594" t="s">
        <v>1291</v>
      </c>
      <c r="E1594" s="11"/>
      <c r="F1594" s="11"/>
      <c r="G1594" s="11"/>
      <c r="H1594" s="5">
        <v>1</v>
      </c>
      <c r="I1594" s="5" t="s">
        <v>1292</v>
      </c>
      <c r="J1594" s="5" t="s">
        <v>1319</v>
      </c>
      <c r="K1594" s="6">
        <f t="shared" si="54"/>
        <v>1</v>
      </c>
    </row>
    <row r="1595" spans="1:11" x14ac:dyDescent="0.2">
      <c r="A1595" s="9" t="s">
        <v>1308</v>
      </c>
      <c r="B1595" s="9">
        <v>2019</v>
      </c>
      <c r="C1595" s="9" t="s">
        <v>1291</v>
      </c>
      <c r="D1595" s="9" t="s">
        <v>1291</v>
      </c>
      <c r="E1595" s="10"/>
      <c r="F1595" s="10"/>
      <c r="G1595" s="10"/>
      <c r="H1595" s="10">
        <v>1</v>
      </c>
      <c r="I1595" s="10" t="s">
        <v>1292</v>
      </c>
      <c r="J1595" s="10" t="s">
        <v>1319</v>
      </c>
      <c r="K1595" s="6">
        <f t="shared" si="54"/>
        <v>1</v>
      </c>
    </row>
    <row r="1596" spans="1:11" x14ac:dyDescent="0.2">
      <c r="A1596" t="s">
        <v>1308</v>
      </c>
      <c r="B1596">
        <v>2015</v>
      </c>
      <c r="C1596" t="s">
        <v>1320</v>
      </c>
      <c r="D1596" t="s">
        <v>1320</v>
      </c>
      <c r="E1596" s="5">
        <f>(734317132/982891476)+((248574344/982891476)/2)</f>
        <v>0.87354944565619574</v>
      </c>
      <c r="G1596" s="5">
        <f>(248574344/982891476)/2</f>
        <v>0.12645055434380428</v>
      </c>
      <c r="I1596" t="s">
        <v>1321</v>
      </c>
      <c r="J1596" t="s">
        <v>1322</v>
      </c>
      <c r="K1596" s="6">
        <f t="shared" si="54"/>
        <v>1</v>
      </c>
    </row>
    <row r="1597" spans="1:11" x14ac:dyDescent="0.2">
      <c r="A1597" t="s">
        <v>1308</v>
      </c>
      <c r="B1597">
        <v>2016</v>
      </c>
      <c r="C1597" t="s">
        <v>1320</v>
      </c>
      <c r="D1597" t="s">
        <v>1320</v>
      </c>
      <c r="E1597" s="5">
        <f>(427704087/719751224)+((292047137/719751224)/2)</f>
        <v>0.79711938843469055</v>
      </c>
      <c r="G1597" s="5">
        <f>(292047137/719751224)/2</f>
        <v>0.2028806115653094</v>
      </c>
      <c r="I1597" t="s">
        <v>1321</v>
      </c>
      <c r="J1597" t="s">
        <v>1323</v>
      </c>
      <c r="K1597" s="6">
        <f t="shared" si="54"/>
        <v>1</v>
      </c>
    </row>
    <row r="1598" spans="1:11" x14ac:dyDescent="0.2">
      <c r="A1598" t="s">
        <v>1308</v>
      </c>
      <c r="B1598">
        <v>2012</v>
      </c>
      <c r="C1598" t="s">
        <v>1029</v>
      </c>
      <c r="D1598" t="s">
        <v>1029</v>
      </c>
      <c r="E1598" s="5">
        <f>(651846454/756783486)+((104937032/756783486)/2)</f>
        <v>0.93066905268067657</v>
      </c>
      <c r="G1598" s="5">
        <f>(104937032/756783486)/2</f>
        <v>6.9330947319323502E-2</v>
      </c>
      <c r="I1598" t="s">
        <v>1324</v>
      </c>
      <c r="J1598" t="s">
        <v>1325</v>
      </c>
      <c r="K1598" s="6">
        <f t="shared" si="54"/>
        <v>1</v>
      </c>
    </row>
    <row r="1599" spans="1:11" x14ac:dyDescent="0.2">
      <c r="A1599" t="s">
        <v>1308</v>
      </c>
      <c r="B1599">
        <v>2013</v>
      </c>
      <c r="C1599" t="s">
        <v>1029</v>
      </c>
      <c r="D1599" t="s">
        <v>1029</v>
      </c>
      <c r="E1599" s="5">
        <f>(412247191/569131897)+((156884706/569131897)/2)</f>
        <v>0.8621719263786054</v>
      </c>
      <c r="G1599" s="5">
        <f>(156884706/569131897)/2</f>
        <v>0.13782807362139465</v>
      </c>
      <c r="I1599" t="s">
        <v>1324</v>
      </c>
      <c r="J1599" t="s">
        <v>1326</v>
      </c>
      <c r="K1599" s="6">
        <f t="shared" si="54"/>
        <v>1</v>
      </c>
    </row>
    <row r="1600" spans="1:11" x14ac:dyDescent="0.2">
      <c r="A1600" t="s">
        <v>1308</v>
      </c>
      <c r="B1600">
        <v>2015</v>
      </c>
      <c r="C1600" t="s">
        <v>1029</v>
      </c>
      <c r="D1600" t="s">
        <v>1029</v>
      </c>
      <c r="E1600" s="5">
        <f>(734317132/982891476)+((248574344/982891476)/2)</f>
        <v>0.87354944565619574</v>
      </c>
      <c r="G1600" s="5">
        <f>(248574344/982891476)/2</f>
        <v>0.12645055434380428</v>
      </c>
      <c r="I1600" t="s">
        <v>1321</v>
      </c>
      <c r="J1600" t="s">
        <v>1322</v>
      </c>
      <c r="K1600" s="6">
        <f t="shared" si="54"/>
        <v>1</v>
      </c>
    </row>
    <row r="1601" spans="1:11" x14ac:dyDescent="0.2">
      <c r="A1601" t="s">
        <v>1308</v>
      </c>
      <c r="B1601">
        <v>2016</v>
      </c>
      <c r="C1601" t="s">
        <v>1029</v>
      </c>
      <c r="D1601" t="s">
        <v>1029</v>
      </c>
      <c r="E1601" s="5">
        <f>(427704087/719751224)+((292047137/719751224)/2)</f>
        <v>0.79711938843469055</v>
      </c>
      <c r="G1601" s="5">
        <f>(292047137/719751224)/2</f>
        <v>0.2028806115653094</v>
      </c>
      <c r="I1601" t="s">
        <v>1321</v>
      </c>
      <c r="J1601" t="s">
        <v>1323</v>
      </c>
      <c r="K1601" s="6">
        <f t="shared" si="54"/>
        <v>1</v>
      </c>
    </row>
    <row r="1602" spans="1:11" x14ac:dyDescent="0.2">
      <c r="A1602" t="s">
        <v>1308</v>
      </c>
      <c r="B1602">
        <v>2018</v>
      </c>
      <c r="C1602" s="8" t="s">
        <v>1029</v>
      </c>
      <c r="D1602" t="s">
        <v>1029</v>
      </c>
      <c r="E1602" s="7">
        <f>524000466/815030460</f>
        <v>0.64292132836360494</v>
      </c>
      <c r="F1602" s="7"/>
      <c r="G1602" s="7">
        <f>(291029994/2)/815030460</f>
        <v>0.17853933581819753</v>
      </c>
      <c r="H1602" s="7"/>
      <c r="I1602" t="s">
        <v>1321</v>
      </c>
      <c r="J1602" t="s">
        <v>1327</v>
      </c>
      <c r="K1602" s="6">
        <f t="shared" ref="K1602:K1665" si="57">SUM(E1602:H1602)</f>
        <v>0.82146066418180252</v>
      </c>
    </row>
    <row r="1603" spans="1:11" x14ac:dyDescent="0.2">
      <c r="A1603" s="9" t="s">
        <v>1308</v>
      </c>
      <c r="B1603" s="9">
        <v>2019</v>
      </c>
      <c r="C1603" s="14" t="s">
        <v>1029</v>
      </c>
      <c r="D1603" s="9" t="s">
        <v>1029</v>
      </c>
      <c r="E1603" s="10">
        <f>524000466/815030460</f>
        <v>0.64292132836360494</v>
      </c>
      <c r="F1603" s="10"/>
      <c r="G1603" s="10">
        <f>(291029994/2)/815030460</f>
        <v>0.17853933581819753</v>
      </c>
      <c r="H1603" s="10"/>
      <c r="I1603" s="9" t="s">
        <v>1321</v>
      </c>
      <c r="J1603" s="9" t="s">
        <v>1327</v>
      </c>
      <c r="K1603" s="6">
        <f t="shared" si="57"/>
        <v>0.82146066418180252</v>
      </c>
    </row>
    <row r="1604" spans="1:11" x14ac:dyDescent="0.2">
      <c r="A1604" t="s">
        <v>1308</v>
      </c>
      <c r="B1604">
        <v>2010</v>
      </c>
      <c r="C1604" t="s">
        <v>1328</v>
      </c>
      <c r="D1604" t="s">
        <v>1329</v>
      </c>
      <c r="E1604" s="5">
        <f>(334323297/376111493)+((41788196/376111493)/2)</f>
        <v>0.94444706320101734</v>
      </c>
      <c r="G1604" s="5">
        <f>(41788196/376111493)/2</f>
        <v>5.5552936798982634E-2</v>
      </c>
      <c r="I1604" t="s">
        <v>1324</v>
      </c>
      <c r="J1604" t="s">
        <v>1330</v>
      </c>
      <c r="K1604" s="6">
        <f t="shared" si="57"/>
        <v>1</v>
      </c>
    </row>
    <row r="1605" spans="1:11" x14ac:dyDescent="0.2">
      <c r="A1605" t="s">
        <v>1308</v>
      </c>
      <c r="B1605">
        <v>2015</v>
      </c>
      <c r="C1605" t="s">
        <v>1331</v>
      </c>
      <c r="D1605" t="s">
        <v>1331</v>
      </c>
      <c r="E1605" s="5">
        <f>(734317132/982891476)+((248574344/982891476)/2)</f>
        <v>0.87354944565619574</v>
      </c>
      <c r="G1605" s="5">
        <f>(248574344/982891476)/2</f>
        <v>0.12645055434380428</v>
      </c>
      <c r="I1605" t="s">
        <v>1321</v>
      </c>
      <c r="J1605" t="s">
        <v>1322</v>
      </c>
      <c r="K1605" s="6">
        <f t="shared" si="57"/>
        <v>1</v>
      </c>
    </row>
    <row r="1606" spans="1:11" x14ac:dyDescent="0.2">
      <c r="A1606" t="s">
        <v>1308</v>
      </c>
      <c r="B1606">
        <v>2016</v>
      </c>
      <c r="C1606" t="s">
        <v>1331</v>
      </c>
      <c r="D1606" t="s">
        <v>1331</v>
      </c>
      <c r="E1606" s="5">
        <f>(427704087/719751224)+((292047137/719751224)/2)</f>
        <v>0.79711938843469055</v>
      </c>
      <c r="G1606" s="5">
        <f>(292047137/719751224)/2</f>
        <v>0.2028806115653094</v>
      </c>
      <c r="I1606" t="s">
        <v>1321</v>
      </c>
      <c r="J1606" t="s">
        <v>1323</v>
      </c>
      <c r="K1606" s="6">
        <f t="shared" si="57"/>
        <v>1</v>
      </c>
    </row>
    <row r="1607" spans="1:11" x14ac:dyDescent="0.2">
      <c r="A1607" t="s">
        <v>1308</v>
      </c>
      <c r="B1607">
        <v>2017</v>
      </c>
      <c r="C1607" t="s">
        <v>1331</v>
      </c>
      <c r="D1607" t="s">
        <v>1331</v>
      </c>
      <c r="E1607" s="5">
        <f>(408724022/698655737)+((289941715/698655737)/2)</f>
        <v>0.79251461081181962</v>
      </c>
      <c r="G1607" s="5">
        <f>((289941715/698655737)/2)</f>
        <v>0.20749970238918972</v>
      </c>
      <c r="I1607" t="s">
        <v>1321</v>
      </c>
      <c r="J1607" t="s">
        <v>1332</v>
      </c>
      <c r="K1607" s="6">
        <f t="shared" si="57"/>
        <v>1.0000143132010093</v>
      </c>
    </row>
    <row r="1608" spans="1:11" x14ac:dyDescent="0.2">
      <c r="A1608" t="s">
        <v>1308</v>
      </c>
      <c r="B1608">
        <v>2018</v>
      </c>
      <c r="C1608" t="s">
        <v>1331</v>
      </c>
      <c r="D1608" t="s">
        <v>1331</v>
      </c>
      <c r="E1608" s="7">
        <f>524000466/815030460</f>
        <v>0.64292132836360494</v>
      </c>
      <c r="F1608" s="7"/>
      <c r="G1608" s="7">
        <f>(291029994/2)/815030460</f>
        <v>0.17853933581819753</v>
      </c>
      <c r="H1608" s="7"/>
      <c r="I1608" t="s">
        <v>1321</v>
      </c>
      <c r="J1608" t="s">
        <v>1327</v>
      </c>
      <c r="K1608" s="6">
        <f t="shared" si="57"/>
        <v>0.82146066418180252</v>
      </c>
    </row>
    <row r="1609" spans="1:11" x14ac:dyDescent="0.2">
      <c r="A1609" t="s">
        <v>1308</v>
      </c>
      <c r="B1609">
        <v>2018</v>
      </c>
      <c r="C1609" s="8" t="s">
        <v>1029</v>
      </c>
      <c r="D1609" t="s">
        <v>1331</v>
      </c>
      <c r="E1609" s="7">
        <f>524000466/815030460</f>
        <v>0.64292132836360494</v>
      </c>
      <c r="F1609" s="7"/>
      <c r="G1609" s="7">
        <f>(291029994/2)/815030460</f>
        <v>0.17853933581819753</v>
      </c>
      <c r="H1609" s="7"/>
      <c r="I1609" t="s">
        <v>1321</v>
      </c>
      <c r="J1609" t="s">
        <v>1327</v>
      </c>
      <c r="K1609" s="6">
        <f t="shared" si="57"/>
        <v>0.82146066418180252</v>
      </c>
    </row>
    <row r="1610" spans="1:11" x14ac:dyDescent="0.2">
      <c r="A1610" s="9" t="s">
        <v>1308</v>
      </c>
      <c r="B1610" s="9">
        <v>2019</v>
      </c>
      <c r="C1610" s="9" t="s">
        <v>1331</v>
      </c>
      <c r="D1610" s="9" t="s">
        <v>1331</v>
      </c>
      <c r="E1610" s="10">
        <f>524000466/815030460</f>
        <v>0.64292132836360494</v>
      </c>
      <c r="F1610" s="10"/>
      <c r="G1610" s="10">
        <f>(291029994/2)/815030460</f>
        <v>0.17853933581819753</v>
      </c>
      <c r="H1610" s="10"/>
      <c r="I1610" s="9" t="s">
        <v>1321</v>
      </c>
      <c r="J1610" s="9" t="s">
        <v>1327</v>
      </c>
      <c r="K1610" s="6">
        <f t="shared" si="57"/>
        <v>0.82146066418180252</v>
      </c>
    </row>
    <row r="1611" spans="1:11" x14ac:dyDescent="0.2">
      <c r="A1611" t="s">
        <v>1308</v>
      </c>
      <c r="B1611">
        <v>2010</v>
      </c>
      <c r="C1611" t="s">
        <v>1328</v>
      </c>
      <c r="D1611" t="s">
        <v>1333</v>
      </c>
      <c r="E1611" s="5">
        <f>(41788196/376111493)/2</f>
        <v>5.5552936798982634E-2</v>
      </c>
      <c r="I1611" t="s">
        <v>1334</v>
      </c>
      <c r="J1611" t="s">
        <v>1330</v>
      </c>
      <c r="K1611" s="6">
        <f t="shared" si="57"/>
        <v>5.5552936798982634E-2</v>
      </c>
    </row>
    <row r="1612" spans="1:11" x14ac:dyDescent="0.2">
      <c r="A1612" t="s">
        <v>1308</v>
      </c>
      <c r="B1612">
        <v>2014</v>
      </c>
      <c r="C1612" t="s">
        <v>1029</v>
      </c>
      <c r="D1612" t="s">
        <v>1333</v>
      </c>
      <c r="E1612" s="5">
        <f>(156884706/573340046)/2</f>
        <v>0.13681645569198561</v>
      </c>
      <c r="I1612" t="s">
        <v>1334</v>
      </c>
      <c r="J1612" t="s">
        <v>1335</v>
      </c>
      <c r="K1612" s="6">
        <f t="shared" si="57"/>
        <v>0.13681645569198561</v>
      </c>
    </row>
    <row r="1613" spans="1:11" x14ac:dyDescent="0.2">
      <c r="A1613" t="s">
        <v>1308</v>
      </c>
      <c r="B1613" t="s">
        <v>125</v>
      </c>
      <c r="C1613" s="8" t="s">
        <v>1029</v>
      </c>
      <c r="D1613" t="s">
        <v>1336</v>
      </c>
      <c r="E1613" s="5">
        <f>(408724022/698655737)+((289941715/698655737)/2)</f>
        <v>0.79251461081181962</v>
      </c>
      <c r="G1613" s="5">
        <f>((289941715/698655737)/2)</f>
        <v>0.20749970238918972</v>
      </c>
      <c r="I1613" t="s">
        <v>1337</v>
      </c>
      <c r="J1613" t="s">
        <v>1332</v>
      </c>
      <c r="K1613" s="6">
        <f t="shared" si="57"/>
        <v>1.0000143132010093</v>
      </c>
    </row>
    <row r="1614" spans="1:11" x14ac:dyDescent="0.2">
      <c r="A1614" t="s">
        <v>1308</v>
      </c>
      <c r="B1614">
        <v>2011</v>
      </c>
      <c r="C1614" t="s">
        <v>1029</v>
      </c>
      <c r="D1614" t="s">
        <v>1338</v>
      </c>
      <c r="E1614" s="5">
        <v>1</v>
      </c>
      <c r="I1614" t="s">
        <v>1316</v>
      </c>
      <c r="J1614" t="s">
        <v>1339</v>
      </c>
      <c r="K1614" s="6">
        <f t="shared" si="57"/>
        <v>1</v>
      </c>
    </row>
    <row r="1615" spans="1:11" x14ac:dyDescent="0.2">
      <c r="A1615" t="s">
        <v>1308</v>
      </c>
      <c r="B1615">
        <v>2011</v>
      </c>
      <c r="C1615" t="s">
        <v>1029</v>
      </c>
      <c r="D1615" t="s">
        <v>1340</v>
      </c>
      <c r="E1615" s="5">
        <v>1</v>
      </c>
      <c r="I1615" t="s">
        <v>1316</v>
      </c>
      <c r="J1615" t="s">
        <v>1339</v>
      </c>
      <c r="K1615" s="6">
        <f t="shared" si="57"/>
        <v>1</v>
      </c>
    </row>
    <row r="1616" spans="1:11" x14ac:dyDescent="0.2">
      <c r="A1616" t="s">
        <v>1308</v>
      </c>
      <c r="B1616">
        <v>2010</v>
      </c>
      <c r="C1616" t="s">
        <v>1312</v>
      </c>
      <c r="D1616" t="s">
        <v>1312</v>
      </c>
      <c r="H1616" s="5">
        <v>1</v>
      </c>
      <c r="I1616" t="s">
        <v>1314</v>
      </c>
      <c r="K1616" s="6">
        <f t="shared" si="57"/>
        <v>1</v>
      </c>
    </row>
    <row r="1617" spans="1:11" x14ac:dyDescent="0.2">
      <c r="A1617" t="s">
        <v>1308</v>
      </c>
      <c r="B1617">
        <v>2013</v>
      </c>
      <c r="C1617" t="s">
        <v>1312</v>
      </c>
      <c r="D1617" t="s">
        <v>1312</v>
      </c>
      <c r="H1617" s="5">
        <v>1</v>
      </c>
      <c r="I1617" t="s">
        <v>1314</v>
      </c>
      <c r="K1617" s="6">
        <f t="shared" si="57"/>
        <v>1</v>
      </c>
    </row>
    <row r="1618" spans="1:11" x14ac:dyDescent="0.2">
      <c r="A1618" t="s">
        <v>1308</v>
      </c>
      <c r="B1618">
        <v>2014</v>
      </c>
      <c r="C1618" t="s">
        <v>1312</v>
      </c>
      <c r="D1618" t="s">
        <v>1312</v>
      </c>
      <c r="H1618" s="5">
        <v>1</v>
      </c>
      <c r="I1618" t="s">
        <v>1314</v>
      </c>
      <c r="K1618" s="6">
        <f t="shared" si="57"/>
        <v>1</v>
      </c>
    </row>
    <row r="1619" spans="1:11" x14ac:dyDescent="0.2">
      <c r="A1619" t="s">
        <v>1308</v>
      </c>
      <c r="B1619">
        <v>2015</v>
      </c>
      <c r="C1619" t="s">
        <v>1341</v>
      </c>
      <c r="D1619" t="s">
        <v>1341</v>
      </c>
      <c r="H1619" s="5">
        <v>1</v>
      </c>
      <c r="I1619" t="s">
        <v>1314</v>
      </c>
      <c r="J1619" t="s">
        <v>1342</v>
      </c>
      <c r="K1619" s="6">
        <f t="shared" si="57"/>
        <v>1</v>
      </c>
    </row>
    <row r="1620" spans="1:11" x14ac:dyDescent="0.2">
      <c r="A1620" t="s">
        <v>1308</v>
      </c>
      <c r="B1620">
        <v>2016</v>
      </c>
      <c r="C1620" t="s">
        <v>1341</v>
      </c>
      <c r="D1620" t="s">
        <v>1341</v>
      </c>
      <c r="E1620" s="7"/>
      <c r="F1620" s="7"/>
      <c r="G1620" s="7"/>
      <c r="H1620" s="7">
        <v>1</v>
      </c>
      <c r="I1620" t="s">
        <v>1314</v>
      </c>
      <c r="J1620" t="s">
        <v>1342</v>
      </c>
      <c r="K1620" s="6">
        <f t="shared" si="57"/>
        <v>1</v>
      </c>
    </row>
    <row r="1621" spans="1:11" x14ac:dyDescent="0.2">
      <c r="A1621" t="s">
        <v>1308</v>
      </c>
      <c r="B1621">
        <v>2017</v>
      </c>
      <c r="C1621" s="8" t="s">
        <v>1290</v>
      </c>
      <c r="D1621" t="s">
        <v>1341</v>
      </c>
      <c r="E1621" s="11"/>
      <c r="F1621" s="11"/>
      <c r="G1621" s="11"/>
      <c r="H1621" s="11">
        <f>5720786/(95648249+5720786)</f>
        <v>5.6435241787593224E-2</v>
      </c>
      <c r="I1621" s="5" t="s">
        <v>1343</v>
      </c>
      <c r="J1621" t="s">
        <v>1344</v>
      </c>
      <c r="K1621" s="6">
        <f t="shared" si="57"/>
        <v>5.6435241787593224E-2</v>
      </c>
    </row>
    <row r="1622" spans="1:11" x14ac:dyDescent="0.2">
      <c r="A1622" t="s">
        <v>1308</v>
      </c>
      <c r="B1622">
        <v>2018</v>
      </c>
      <c r="C1622" t="s">
        <v>1341</v>
      </c>
      <c r="D1622" t="s">
        <v>1341</v>
      </c>
      <c r="H1622" s="5">
        <f>1255360/6008765</f>
        <v>0.20892146722329796</v>
      </c>
      <c r="I1622" s="5" t="s">
        <v>1343</v>
      </c>
      <c r="J1622" t="s">
        <v>1345</v>
      </c>
      <c r="K1622" s="6">
        <f t="shared" si="57"/>
        <v>0.20892146722329796</v>
      </c>
    </row>
    <row r="1623" spans="1:11" x14ac:dyDescent="0.2">
      <c r="A1623" t="s">
        <v>1308</v>
      </c>
      <c r="B1623">
        <v>2013</v>
      </c>
      <c r="C1623" t="s">
        <v>1029</v>
      </c>
      <c r="D1623" t="s">
        <v>1346</v>
      </c>
      <c r="E1623" s="5">
        <v>1</v>
      </c>
      <c r="I1623" t="s">
        <v>1316</v>
      </c>
      <c r="J1623" t="s">
        <v>1317</v>
      </c>
      <c r="K1623" s="6">
        <f t="shared" si="57"/>
        <v>1</v>
      </c>
    </row>
    <row r="1624" spans="1:11" x14ac:dyDescent="0.2">
      <c r="A1624" t="s">
        <v>1308</v>
      </c>
      <c r="B1624">
        <v>2016</v>
      </c>
      <c r="C1624" t="s">
        <v>1029</v>
      </c>
      <c r="D1624" t="s">
        <v>1346</v>
      </c>
      <c r="E1624" s="7">
        <v>1</v>
      </c>
      <c r="F1624" s="7"/>
      <c r="G1624" s="7"/>
      <c r="H1624" s="7"/>
      <c r="I1624" t="s">
        <v>1316</v>
      </c>
      <c r="J1624" t="s">
        <v>1317</v>
      </c>
      <c r="K1624" s="6">
        <f t="shared" si="57"/>
        <v>1</v>
      </c>
    </row>
    <row r="1625" spans="1:11" x14ac:dyDescent="0.2">
      <c r="A1625" t="s">
        <v>1308</v>
      </c>
      <c r="B1625">
        <v>2018</v>
      </c>
      <c r="C1625" s="8" t="s">
        <v>1029</v>
      </c>
      <c r="D1625" t="s">
        <v>1346</v>
      </c>
      <c r="E1625" s="7">
        <v>1</v>
      </c>
      <c r="F1625" s="7"/>
      <c r="G1625" s="7"/>
      <c r="H1625" s="7"/>
      <c r="I1625" t="s">
        <v>1316</v>
      </c>
      <c r="J1625" t="s">
        <v>1317</v>
      </c>
      <c r="K1625" s="6">
        <f t="shared" si="57"/>
        <v>1</v>
      </c>
    </row>
    <row r="1626" spans="1:11" x14ac:dyDescent="0.2">
      <c r="A1626" t="s">
        <v>1308</v>
      </c>
      <c r="B1626">
        <v>2011</v>
      </c>
      <c r="C1626" t="s">
        <v>1029</v>
      </c>
      <c r="D1626" t="s">
        <v>1347</v>
      </c>
      <c r="E1626" s="5">
        <v>1</v>
      </c>
      <c r="I1626" t="s">
        <v>1316</v>
      </c>
      <c r="J1626" t="s">
        <v>1339</v>
      </c>
      <c r="K1626" s="6">
        <f t="shared" si="57"/>
        <v>1</v>
      </c>
    </row>
    <row r="1627" spans="1:11" x14ac:dyDescent="0.2">
      <c r="A1627" t="s">
        <v>1308</v>
      </c>
      <c r="B1627">
        <v>2016</v>
      </c>
      <c r="C1627" t="s">
        <v>1029</v>
      </c>
      <c r="D1627" t="s">
        <v>1347</v>
      </c>
      <c r="E1627" s="5">
        <v>1</v>
      </c>
      <c r="I1627" t="s">
        <v>1316</v>
      </c>
      <c r="J1627" t="s">
        <v>1311</v>
      </c>
      <c r="K1627" s="6">
        <f t="shared" si="57"/>
        <v>1</v>
      </c>
    </row>
    <row r="1628" spans="1:11" x14ac:dyDescent="0.2">
      <c r="A1628" t="s">
        <v>1308</v>
      </c>
      <c r="B1628">
        <v>2015</v>
      </c>
      <c r="C1628" t="s">
        <v>1029</v>
      </c>
      <c r="D1628" t="s">
        <v>1348</v>
      </c>
      <c r="E1628" s="5">
        <v>1</v>
      </c>
      <c r="I1628" t="s">
        <v>1316</v>
      </c>
      <c r="J1628" t="s">
        <v>1317</v>
      </c>
      <c r="K1628" s="6">
        <f t="shared" si="57"/>
        <v>1</v>
      </c>
    </row>
    <row r="1629" spans="1:11" x14ac:dyDescent="0.2">
      <c r="A1629" t="s">
        <v>1349</v>
      </c>
      <c r="B1629">
        <v>2018</v>
      </c>
      <c r="C1629" s="8" t="s">
        <v>1349</v>
      </c>
      <c r="D1629" t="s">
        <v>1350</v>
      </c>
      <c r="E1629" s="12">
        <f>(120373+26426+32448)/44458649</f>
        <v>4.0317689365684502E-3</v>
      </c>
      <c r="F1629" s="7"/>
      <c r="G1629" s="7"/>
      <c r="H1629" s="7"/>
      <c r="J1629" t="s">
        <v>1351</v>
      </c>
      <c r="K1629" s="6">
        <f t="shared" si="57"/>
        <v>4.0317689365684502E-3</v>
      </c>
    </row>
    <row r="1630" spans="1:11" x14ac:dyDescent="0.2">
      <c r="A1630" t="s">
        <v>1349</v>
      </c>
      <c r="B1630">
        <v>2018</v>
      </c>
      <c r="C1630" t="s">
        <v>1350</v>
      </c>
      <c r="D1630" t="s">
        <v>1350</v>
      </c>
      <c r="E1630" s="12">
        <f>(120373+26426+32448)/44458649</f>
        <v>4.0317689365684502E-3</v>
      </c>
      <c r="F1630" s="7"/>
      <c r="G1630" s="7"/>
      <c r="H1630" s="7"/>
      <c r="J1630" t="s">
        <v>1351</v>
      </c>
      <c r="K1630" s="6">
        <f t="shared" si="57"/>
        <v>4.0317689365684502E-3</v>
      </c>
    </row>
    <row r="1631" spans="1:11" x14ac:dyDescent="0.2">
      <c r="A1631" s="9" t="s">
        <v>1349</v>
      </c>
      <c r="B1631" s="9">
        <v>2019</v>
      </c>
      <c r="C1631" s="9" t="s">
        <v>1352</v>
      </c>
      <c r="D1631" s="9" t="s">
        <v>1352</v>
      </c>
      <c r="E1631" s="13">
        <f>(120373+26426+32448)/44458649</f>
        <v>4.0317689365684502E-3</v>
      </c>
      <c r="F1631" s="10"/>
      <c r="G1631" s="10"/>
      <c r="H1631" s="10"/>
      <c r="I1631" s="9"/>
      <c r="J1631" s="9" t="s">
        <v>1351</v>
      </c>
      <c r="K1631" s="6">
        <f t="shared" si="57"/>
        <v>4.0317689365684502E-3</v>
      </c>
    </row>
    <row r="1632" spans="1:11" x14ac:dyDescent="0.2">
      <c r="A1632" s="8" t="s">
        <v>1353</v>
      </c>
      <c r="B1632">
        <v>2010</v>
      </c>
      <c r="C1632" s="8" t="s">
        <v>1349</v>
      </c>
      <c r="D1632" t="s">
        <v>1354</v>
      </c>
      <c r="E1632" s="12">
        <f>(130975+93684+33843)/25465910</f>
        <v>1.015090369831669E-2</v>
      </c>
      <c r="F1632" s="12"/>
      <c r="G1632" s="12"/>
      <c r="H1632" s="12"/>
      <c r="I1632" t="s">
        <v>1355</v>
      </c>
      <c r="J1632" t="s">
        <v>1356</v>
      </c>
      <c r="K1632" s="6">
        <f t="shared" si="57"/>
        <v>1.015090369831669E-2</v>
      </c>
    </row>
    <row r="1633" spans="1:11" x14ac:dyDescent="0.2">
      <c r="A1633" s="8" t="s">
        <v>1353</v>
      </c>
      <c r="B1633">
        <v>2010</v>
      </c>
      <c r="C1633" s="8" t="s">
        <v>1349</v>
      </c>
      <c r="D1633" t="s">
        <v>1350</v>
      </c>
      <c r="E1633" s="12">
        <f>(130975+93684+33843)/25465910</f>
        <v>1.015090369831669E-2</v>
      </c>
      <c r="F1633" s="12"/>
      <c r="G1633" s="12"/>
      <c r="H1633" s="12"/>
      <c r="I1633" t="s">
        <v>1355</v>
      </c>
      <c r="J1633" t="s">
        <v>1356</v>
      </c>
      <c r="K1633" s="6">
        <f t="shared" si="57"/>
        <v>1.015090369831669E-2</v>
      </c>
    </row>
    <row r="1634" spans="1:11" x14ac:dyDescent="0.2">
      <c r="A1634" s="8" t="s">
        <v>1353</v>
      </c>
      <c r="B1634">
        <v>2011</v>
      </c>
      <c r="C1634" s="8" t="s">
        <v>1349</v>
      </c>
      <c r="D1634" t="s">
        <v>1352</v>
      </c>
      <c r="E1634" s="12">
        <f>(130975+93684+33843)/25465910</f>
        <v>1.015090369831669E-2</v>
      </c>
      <c r="F1634" s="12"/>
      <c r="G1634" s="12"/>
      <c r="H1634" s="12"/>
      <c r="I1634" t="s">
        <v>1355</v>
      </c>
      <c r="J1634" t="s">
        <v>1356</v>
      </c>
      <c r="K1634" s="6">
        <f t="shared" si="57"/>
        <v>1.015090369831669E-2</v>
      </c>
    </row>
    <row r="1635" spans="1:11" x14ac:dyDescent="0.2">
      <c r="A1635" s="8" t="s">
        <v>1353</v>
      </c>
      <c r="B1635">
        <v>2012</v>
      </c>
      <c r="C1635" s="8" t="s">
        <v>1349</v>
      </c>
      <c r="D1635" t="s">
        <v>1352</v>
      </c>
      <c r="E1635" s="12">
        <f>(130975+93684+33843)/25465910</f>
        <v>1.015090369831669E-2</v>
      </c>
      <c r="F1635" s="12"/>
      <c r="G1635" s="12"/>
      <c r="H1635" s="12"/>
      <c r="I1635" t="s">
        <v>1355</v>
      </c>
      <c r="J1635" t="s">
        <v>1356</v>
      </c>
      <c r="K1635" s="6">
        <f t="shared" si="57"/>
        <v>1.015090369831669E-2</v>
      </c>
    </row>
    <row r="1636" spans="1:11" x14ac:dyDescent="0.2">
      <c r="A1636" s="8" t="s">
        <v>1353</v>
      </c>
      <c r="B1636">
        <v>2013</v>
      </c>
      <c r="C1636" s="8" t="s">
        <v>1349</v>
      </c>
      <c r="D1636" t="s">
        <v>1352</v>
      </c>
      <c r="E1636" s="12">
        <f>(130975+93684+33843)/25465910</f>
        <v>1.015090369831669E-2</v>
      </c>
      <c r="F1636" s="12"/>
      <c r="G1636" s="12"/>
      <c r="H1636" s="12"/>
      <c r="I1636" t="s">
        <v>1357</v>
      </c>
      <c r="J1636" t="s">
        <v>1356</v>
      </c>
      <c r="K1636" s="6">
        <f t="shared" si="57"/>
        <v>1.015090369831669E-2</v>
      </c>
    </row>
    <row r="1637" spans="1:11" x14ac:dyDescent="0.2">
      <c r="A1637" s="8" t="s">
        <v>1353</v>
      </c>
      <c r="B1637">
        <v>2014</v>
      </c>
      <c r="C1637" s="8" t="s">
        <v>1349</v>
      </c>
      <c r="D1637" t="s">
        <v>1352</v>
      </c>
      <c r="E1637" s="12">
        <f>(127940+82940+61877)/29505834</f>
        <v>9.2441718475064962E-3</v>
      </c>
      <c r="F1637" s="12"/>
      <c r="G1637" s="12"/>
      <c r="H1637" s="12"/>
      <c r="I1637" t="s">
        <v>1357</v>
      </c>
      <c r="J1637" t="s">
        <v>1358</v>
      </c>
      <c r="K1637" s="6">
        <f t="shared" si="57"/>
        <v>9.2441718475064962E-3</v>
      </c>
    </row>
    <row r="1638" spans="1:11" x14ac:dyDescent="0.2">
      <c r="A1638" s="8" t="s">
        <v>1353</v>
      </c>
      <c r="B1638">
        <v>2015</v>
      </c>
      <c r="C1638" s="8" t="s">
        <v>1349</v>
      </c>
      <c r="D1638" t="s">
        <v>1352</v>
      </c>
      <c r="E1638" s="12">
        <f>(120146+59770+49298)/42361431</f>
        <v>5.4109125822496412E-3</v>
      </c>
      <c r="F1638" s="12"/>
      <c r="G1638" s="12"/>
      <c r="H1638" s="12"/>
      <c r="I1638" t="s">
        <v>1357</v>
      </c>
      <c r="J1638" t="s">
        <v>1359</v>
      </c>
      <c r="K1638" s="6">
        <f t="shared" si="57"/>
        <v>5.4109125822496412E-3</v>
      </c>
    </row>
    <row r="1639" spans="1:11" x14ac:dyDescent="0.2">
      <c r="A1639" s="8" t="s">
        <v>1353</v>
      </c>
      <c r="B1639">
        <v>2016</v>
      </c>
      <c r="C1639" s="8" t="s">
        <v>1349</v>
      </c>
      <c r="D1639" t="s">
        <v>1352</v>
      </c>
      <c r="E1639" s="12">
        <f>(120492+66490+53683)/44458515</f>
        <v>5.4132487331167043E-3</v>
      </c>
      <c r="F1639" s="12"/>
      <c r="G1639" s="12"/>
      <c r="H1639" s="12"/>
      <c r="I1639" t="s">
        <v>1357</v>
      </c>
      <c r="J1639" t="s">
        <v>1360</v>
      </c>
      <c r="K1639" s="6">
        <f t="shared" si="57"/>
        <v>5.4132487331167043E-3</v>
      </c>
    </row>
    <row r="1640" spans="1:11" x14ac:dyDescent="0.2">
      <c r="A1640" s="8" t="s">
        <v>1353</v>
      </c>
      <c r="B1640">
        <v>2017</v>
      </c>
      <c r="C1640" s="8" t="s">
        <v>1349</v>
      </c>
      <c r="D1640" t="s">
        <v>1350</v>
      </c>
      <c r="E1640" s="12">
        <f>(120234+23750+34546)/49048903</f>
        <v>3.6398367563898423E-3</v>
      </c>
      <c r="F1640" s="12"/>
      <c r="G1640" s="12"/>
      <c r="H1640" s="12"/>
      <c r="I1640" t="s">
        <v>1357</v>
      </c>
      <c r="J1640" t="s">
        <v>1361</v>
      </c>
      <c r="K1640" s="6">
        <f t="shared" si="57"/>
        <v>3.6398367563898423E-3</v>
      </c>
    </row>
    <row r="1641" spans="1:11" x14ac:dyDescent="0.2">
      <c r="A1641" s="8" t="s">
        <v>1353</v>
      </c>
      <c r="B1641">
        <v>2018</v>
      </c>
      <c r="C1641" s="8" t="s">
        <v>1349</v>
      </c>
      <c r="D1641" t="s">
        <v>1350</v>
      </c>
      <c r="E1641" s="12">
        <f>(120373+26426+32448)/44458649</f>
        <v>4.0317689365684502E-3</v>
      </c>
      <c r="F1641" s="7"/>
      <c r="G1641" s="7"/>
      <c r="H1641" s="7"/>
      <c r="J1641" t="s">
        <v>1351</v>
      </c>
      <c r="K1641" s="6">
        <f t="shared" si="57"/>
        <v>4.0317689365684502E-3</v>
      </c>
    </row>
    <row r="1642" spans="1:11" x14ac:dyDescent="0.2">
      <c r="A1642" s="8" t="s">
        <v>1353</v>
      </c>
      <c r="B1642">
        <v>2015</v>
      </c>
      <c r="C1642" s="8" t="s">
        <v>1349</v>
      </c>
      <c r="D1642" t="s">
        <v>1362</v>
      </c>
      <c r="E1642" s="11">
        <f>(120146+59770+49298)/42361431</f>
        <v>5.4109125822496412E-3</v>
      </c>
      <c r="F1642" s="11"/>
      <c r="G1642" s="11"/>
      <c r="H1642" s="11"/>
      <c r="I1642" t="s">
        <v>1357</v>
      </c>
      <c r="J1642" t="s">
        <v>1359</v>
      </c>
      <c r="K1642" s="6">
        <f t="shared" si="57"/>
        <v>5.4109125822496412E-3</v>
      </c>
    </row>
    <row r="1643" spans="1:11" x14ac:dyDescent="0.2">
      <c r="A1643" s="8" t="s">
        <v>1353</v>
      </c>
      <c r="B1643">
        <v>2017</v>
      </c>
      <c r="C1643" s="8" t="s">
        <v>1349</v>
      </c>
      <c r="D1643" t="s">
        <v>1362</v>
      </c>
      <c r="E1643" s="11">
        <f>(120234+23750+34546)/49048903</f>
        <v>3.6398367563898423E-3</v>
      </c>
      <c r="F1643" s="11"/>
      <c r="G1643" s="11"/>
      <c r="H1643" s="11"/>
      <c r="I1643" t="s">
        <v>1357</v>
      </c>
      <c r="J1643" t="s">
        <v>1361</v>
      </c>
      <c r="K1643" s="6">
        <f t="shared" si="57"/>
        <v>3.6398367563898423E-3</v>
      </c>
    </row>
    <row r="1644" spans="1:11" x14ac:dyDescent="0.2">
      <c r="A1644" t="s">
        <v>1363</v>
      </c>
      <c r="B1644">
        <v>2015</v>
      </c>
      <c r="C1644" t="s">
        <v>1364</v>
      </c>
      <c r="D1644" t="s">
        <v>1364</v>
      </c>
      <c r="E1644" s="5">
        <f>118431/118634</f>
        <v>0.99828885479710705</v>
      </c>
      <c r="I1644" t="s">
        <v>1365</v>
      </c>
      <c r="J1644" t="s">
        <v>1366</v>
      </c>
      <c r="K1644" s="6">
        <f t="shared" si="57"/>
        <v>0.99828885479710705</v>
      </c>
    </row>
    <row r="1645" spans="1:11" x14ac:dyDescent="0.2">
      <c r="A1645" t="s">
        <v>1363</v>
      </c>
      <c r="B1645">
        <v>2016</v>
      </c>
      <c r="C1645" t="s">
        <v>1364</v>
      </c>
      <c r="D1645" t="s">
        <v>1364</v>
      </c>
      <c r="E1645" s="5">
        <f>1169088/(1169088+333)</f>
        <v>0.99971524369752207</v>
      </c>
      <c r="I1645" t="s">
        <v>1365</v>
      </c>
      <c r="J1645" t="s">
        <v>1367</v>
      </c>
      <c r="K1645" s="6">
        <f t="shared" si="57"/>
        <v>0.99971524369752207</v>
      </c>
    </row>
    <row r="1646" spans="1:11" x14ac:dyDescent="0.2">
      <c r="A1646" t="s">
        <v>1363</v>
      </c>
      <c r="B1646">
        <v>2017</v>
      </c>
      <c r="C1646" t="s">
        <v>1364</v>
      </c>
      <c r="D1646" t="s">
        <v>1364</v>
      </c>
      <c r="E1646" s="5">
        <f>125888/(125888+122)</f>
        <v>0.99903182287120074</v>
      </c>
      <c r="I1646" t="s">
        <v>1365</v>
      </c>
      <c r="J1646" t="s">
        <v>1367</v>
      </c>
      <c r="K1646" s="6">
        <f t="shared" si="57"/>
        <v>0.99903182287120074</v>
      </c>
    </row>
    <row r="1647" spans="1:11" x14ac:dyDescent="0.2">
      <c r="A1647" s="8" t="s">
        <v>1363</v>
      </c>
      <c r="B1647">
        <v>2018</v>
      </c>
      <c r="C1647" s="8" t="s">
        <v>1363</v>
      </c>
      <c r="D1647" t="s">
        <v>1364</v>
      </c>
      <c r="E1647" s="7">
        <f>158843/(158843+82)</f>
        <v>0.99948403334906399</v>
      </c>
      <c r="F1647" s="7"/>
      <c r="G1647" s="7"/>
      <c r="H1647" s="7"/>
      <c r="I1647" t="s">
        <v>1365</v>
      </c>
      <c r="J1647" t="s">
        <v>1368</v>
      </c>
      <c r="K1647" s="6">
        <f t="shared" si="57"/>
        <v>0.99948403334906399</v>
      </c>
    </row>
    <row r="1648" spans="1:11" x14ac:dyDescent="0.2">
      <c r="A1648" t="s">
        <v>1363</v>
      </c>
      <c r="B1648">
        <v>2018</v>
      </c>
      <c r="C1648" s="8" t="s">
        <v>1363</v>
      </c>
      <c r="D1648" t="s">
        <v>1364</v>
      </c>
      <c r="E1648" s="7">
        <f>158843/(158843+82)</f>
        <v>0.99948403334906399</v>
      </c>
      <c r="F1648" s="7"/>
      <c r="G1648" s="7"/>
      <c r="H1648" s="7"/>
      <c r="I1648" t="s">
        <v>1365</v>
      </c>
      <c r="J1648" t="s">
        <v>1368</v>
      </c>
      <c r="K1648" s="6">
        <f t="shared" si="57"/>
        <v>0.99948403334906399</v>
      </c>
    </row>
    <row r="1649" spans="1:13" x14ac:dyDescent="0.2">
      <c r="A1649" t="s">
        <v>1363</v>
      </c>
      <c r="B1649">
        <v>2018</v>
      </c>
      <c r="C1649" t="s">
        <v>1364</v>
      </c>
      <c r="D1649" t="s">
        <v>1364</v>
      </c>
      <c r="E1649" s="7">
        <f>158843/(158843+82)</f>
        <v>0.99948403334906399</v>
      </c>
      <c r="F1649" s="7"/>
      <c r="G1649" s="7"/>
      <c r="H1649" s="7"/>
      <c r="I1649" t="s">
        <v>1365</v>
      </c>
      <c r="J1649" t="s">
        <v>1368</v>
      </c>
      <c r="K1649" s="6">
        <f t="shared" si="57"/>
        <v>0.99948403334906399</v>
      </c>
    </row>
    <row r="1650" spans="1:13" x14ac:dyDescent="0.2">
      <c r="A1650" s="9" t="s">
        <v>1363</v>
      </c>
      <c r="B1650" s="9">
        <v>2019</v>
      </c>
      <c r="C1650" s="9" t="s">
        <v>1364</v>
      </c>
      <c r="D1650" s="9" t="s">
        <v>1364</v>
      </c>
      <c r="E1650" s="10">
        <f>158843/(158843+82)</f>
        <v>0.99948403334906399</v>
      </c>
      <c r="F1650" s="10"/>
      <c r="G1650" s="10"/>
      <c r="H1650" s="10"/>
      <c r="I1650" s="9" t="s">
        <v>1365</v>
      </c>
      <c r="J1650" s="9" t="s">
        <v>1368</v>
      </c>
      <c r="K1650" s="6">
        <f t="shared" si="57"/>
        <v>0.99948403334906399</v>
      </c>
    </row>
    <row r="1651" spans="1:13" x14ac:dyDescent="0.2">
      <c r="A1651" t="s">
        <v>1363</v>
      </c>
      <c r="B1651">
        <v>2013</v>
      </c>
      <c r="C1651" t="s">
        <v>1363</v>
      </c>
      <c r="D1651" t="s">
        <v>1369</v>
      </c>
      <c r="E1651" s="11">
        <v>1</v>
      </c>
      <c r="F1651" s="11"/>
      <c r="G1651" s="11"/>
      <c r="H1651" s="11"/>
      <c r="I1651" t="s">
        <v>1370</v>
      </c>
      <c r="J1651" t="s">
        <v>1371</v>
      </c>
      <c r="K1651" s="6">
        <f t="shared" si="57"/>
        <v>1</v>
      </c>
    </row>
    <row r="1652" spans="1:13" x14ac:dyDescent="0.2">
      <c r="A1652" t="s">
        <v>1363</v>
      </c>
      <c r="B1652">
        <v>2014</v>
      </c>
      <c r="C1652" t="s">
        <v>1363</v>
      </c>
      <c r="D1652" t="s">
        <v>1369</v>
      </c>
      <c r="E1652" s="11">
        <v>1</v>
      </c>
      <c r="F1652" s="11"/>
      <c r="G1652" s="11"/>
      <c r="H1652" s="11"/>
      <c r="I1652" t="s">
        <v>1370</v>
      </c>
      <c r="J1652" t="s">
        <v>1371</v>
      </c>
      <c r="K1652" s="6">
        <f t="shared" si="57"/>
        <v>1</v>
      </c>
    </row>
    <row r="1653" spans="1:13" x14ac:dyDescent="0.2">
      <c r="A1653" t="s">
        <v>1363</v>
      </c>
      <c r="B1653">
        <v>2017</v>
      </c>
      <c r="C1653" t="s">
        <v>1363</v>
      </c>
      <c r="D1653" t="s">
        <v>1372</v>
      </c>
      <c r="E1653" s="11">
        <v>1</v>
      </c>
      <c r="F1653" s="11"/>
      <c r="G1653" s="11"/>
      <c r="H1653" s="11"/>
      <c r="I1653" t="s">
        <v>1370</v>
      </c>
      <c r="J1653" t="s">
        <v>1371</v>
      </c>
      <c r="K1653" s="6">
        <f t="shared" si="57"/>
        <v>1</v>
      </c>
    </row>
    <row r="1654" spans="1:13" x14ac:dyDescent="0.2">
      <c r="A1654" t="s">
        <v>1363</v>
      </c>
      <c r="B1654">
        <v>2014</v>
      </c>
      <c r="C1654" t="s">
        <v>1363</v>
      </c>
      <c r="D1654" t="s">
        <v>1373</v>
      </c>
      <c r="E1654" s="11">
        <v>1</v>
      </c>
      <c r="F1654" s="11"/>
      <c r="G1654" s="11"/>
      <c r="H1654" s="11"/>
      <c r="I1654" t="s">
        <v>1370</v>
      </c>
      <c r="J1654" t="s">
        <v>1371</v>
      </c>
      <c r="K1654" s="6">
        <f t="shared" si="57"/>
        <v>1</v>
      </c>
    </row>
    <row r="1655" spans="1:13" x14ac:dyDescent="0.2">
      <c r="A1655" t="s">
        <v>1363</v>
      </c>
      <c r="B1655">
        <v>2017</v>
      </c>
      <c r="C1655" t="s">
        <v>1363</v>
      </c>
      <c r="D1655" t="s">
        <v>1373</v>
      </c>
      <c r="E1655" s="11">
        <v>1</v>
      </c>
      <c r="F1655" s="11"/>
      <c r="G1655" s="11"/>
      <c r="H1655" s="11"/>
      <c r="I1655" t="s">
        <v>1370</v>
      </c>
      <c r="J1655" t="s">
        <v>1371</v>
      </c>
      <c r="K1655" s="6">
        <f t="shared" si="57"/>
        <v>1</v>
      </c>
    </row>
    <row r="1656" spans="1:13" x14ac:dyDescent="0.2">
      <c r="A1656" t="s">
        <v>1374</v>
      </c>
      <c r="B1656">
        <v>2014</v>
      </c>
      <c r="C1656" t="s">
        <v>1374</v>
      </c>
      <c r="D1656" t="s">
        <v>1375</v>
      </c>
      <c r="E1656" s="11">
        <v>1</v>
      </c>
      <c r="F1656" s="11"/>
      <c r="G1656" s="11"/>
      <c r="H1656" s="11"/>
      <c r="I1656" t="s">
        <v>1376</v>
      </c>
      <c r="J1656" t="s">
        <v>1377</v>
      </c>
      <c r="K1656" s="6">
        <f t="shared" si="57"/>
        <v>1</v>
      </c>
    </row>
    <row r="1657" spans="1:13" x14ac:dyDescent="0.2">
      <c r="A1657" t="s">
        <v>1374</v>
      </c>
      <c r="B1657">
        <v>2016</v>
      </c>
      <c r="C1657" t="s">
        <v>1378</v>
      </c>
      <c r="D1657" t="s">
        <v>1378</v>
      </c>
      <c r="E1657" s="5">
        <f>(402204+776287)/1215723</f>
        <v>0.96937460260273101</v>
      </c>
      <c r="I1657" t="s">
        <v>1379</v>
      </c>
      <c r="J1657" t="s">
        <v>1380</v>
      </c>
      <c r="K1657" s="6">
        <f t="shared" si="57"/>
        <v>0.96937460260273101</v>
      </c>
    </row>
    <row r="1658" spans="1:13" x14ac:dyDescent="0.2">
      <c r="A1658" s="8" t="s">
        <v>1374</v>
      </c>
      <c r="B1658">
        <v>2018</v>
      </c>
      <c r="C1658" s="8" t="s">
        <v>1374</v>
      </c>
      <c r="D1658" t="s">
        <v>1378</v>
      </c>
      <c r="E1658" s="11">
        <f>(407925352+758639996)/1193274169</f>
        <v>0.97761719670645109</v>
      </c>
      <c r="I1658" t="s">
        <v>1379</v>
      </c>
      <c r="J1658" t="s">
        <v>1381</v>
      </c>
      <c r="K1658" s="6">
        <f t="shared" si="57"/>
        <v>0.97761719670645109</v>
      </c>
    </row>
    <row r="1659" spans="1:13" x14ac:dyDescent="0.2">
      <c r="A1659" t="s">
        <v>1374</v>
      </c>
      <c r="B1659">
        <v>2018</v>
      </c>
      <c r="C1659" s="8" t="s">
        <v>1374</v>
      </c>
      <c r="D1659" t="s">
        <v>1378</v>
      </c>
      <c r="E1659" s="11">
        <f>(407925352+758639996)/1193274169</f>
        <v>0.97761719670645109</v>
      </c>
      <c r="I1659" t="s">
        <v>1379</v>
      </c>
      <c r="J1659" t="s">
        <v>1381</v>
      </c>
      <c r="K1659" s="6">
        <f t="shared" si="57"/>
        <v>0.97761719670645109</v>
      </c>
    </row>
    <row r="1660" spans="1:13" x14ac:dyDescent="0.2">
      <c r="A1660" s="9" t="s">
        <v>1374</v>
      </c>
      <c r="B1660" s="9">
        <v>2019</v>
      </c>
      <c r="C1660" s="9" t="s">
        <v>1378</v>
      </c>
      <c r="D1660" s="9" t="s">
        <v>1378</v>
      </c>
      <c r="E1660" s="13">
        <f>(407925352+758639996)/1193274169</f>
        <v>0.97761719670645109</v>
      </c>
      <c r="F1660" s="10"/>
      <c r="G1660" s="10"/>
      <c r="H1660" s="10"/>
      <c r="I1660" s="9" t="s">
        <v>1379</v>
      </c>
      <c r="J1660" s="9" t="s">
        <v>1381</v>
      </c>
      <c r="K1660" s="6">
        <f t="shared" si="57"/>
        <v>0.97761719670645109</v>
      </c>
    </row>
    <row r="1661" spans="1:13" x14ac:dyDescent="0.2">
      <c r="A1661" t="s">
        <v>1374</v>
      </c>
      <c r="B1661">
        <v>2013</v>
      </c>
      <c r="C1661" t="s">
        <v>1374</v>
      </c>
      <c r="D1661" t="s">
        <v>1382</v>
      </c>
      <c r="E1661" s="11">
        <v>1</v>
      </c>
      <c r="F1661" s="11"/>
      <c r="G1661" s="11"/>
      <c r="H1661" s="11"/>
      <c r="I1661" t="s">
        <v>1376</v>
      </c>
      <c r="J1661" t="s">
        <v>1377</v>
      </c>
      <c r="K1661" s="6">
        <f t="shared" si="57"/>
        <v>1</v>
      </c>
    </row>
    <row r="1662" spans="1:13" x14ac:dyDescent="0.2">
      <c r="A1662" t="s">
        <v>1383</v>
      </c>
      <c r="B1662">
        <v>2011</v>
      </c>
      <c r="C1662" t="s">
        <v>1383</v>
      </c>
      <c r="D1662" t="s">
        <v>1384</v>
      </c>
      <c r="E1662" s="5">
        <v>1</v>
      </c>
      <c r="I1662" t="s">
        <v>1385</v>
      </c>
      <c r="J1662" t="s">
        <v>1386</v>
      </c>
      <c r="K1662" s="6">
        <f t="shared" si="57"/>
        <v>1</v>
      </c>
    </row>
    <row r="1663" spans="1:13" x14ac:dyDescent="0.2">
      <c r="A1663" t="s">
        <v>1383</v>
      </c>
      <c r="B1663">
        <v>2012</v>
      </c>
      <c r="C1663" t="s">
        <v>1383</v>
      </c>
      <c r="D1663" t="s">
        <v>1384</v>
      </c>
      <c r="E1663" s="5">
        <v>1</v>
      </c>
      <c r="I1663" t="s">
        <v>1385</v>
      </c>
      <c r="J1663" t="s">
        <v>1386</v>
      </c>
      <c r="K1663" s="6">
        <f t="shared" si="57"/>
        <v>1</v>
      </c>
      <c r="M1663" t="s">
        <v>69</v>
      </c>
    </row>
    <row r="1664" spans="1:13" x14ac:dyDescent="0.2">
      <c r="A1664" t="s">
        <v>1383</v>
      </c>
      <c r="B1664">
        <v>2013</v>
      </c>
      <c r="C1664" t="s">
        <v>1383</v>
      </c>
      <c r="D1664" t="s">
        <v>1384</v>
      </c>
      <c r="E1664" s="5">
        <v>1</v>
      </c>
      <c r="I1664" t="s">
        <v>1385</v>
      </c>
      <c r="J1664" t="s">
        <v>1386</v>
      </c>
      <c r="K1664" s="6">
        <f t="shared" si="57"/>
        <v>1</v>
      </c>
      <c r="M1664" t="s">
        <v>69</v>
      </c>
    </row>
    <row r="1665" spans="1:13" x14ac:dyDescent="0.2">
      <c r="A1665" t="s">
        <v>1383</v>
      </c>
      <c r="B1665">
        <v>2014</v>
      </c>
      <c r="C1665" t="s">
        <v>1383</v>
      </c>
      <c r="D1665" t="s">
        <v>1384</v>
      </c>
      <c r="E1665" s="5">
        <v>1</v>
      </c>
      <c r="I1665" t="s">
        <v>1385</v>
      </c>
      <c r="J1665" t="s">
        <v>1386</v>
      </c>
      <c r="K1665" s="6">
        <f t="shared" si="57"/>
        <v>1</v>
      </c>
      <c r="M1665" t="s">
        <v>69</v>
      </c>
    </row>
    <row r="1666" spans="1:13" x14ac:dyDescent="0.2">
      <c r="A1666" t="s">
        <v>1383</v>
      </c>
      <c r="B1666">
        <v>2015</v>
      </c>
      <c r="C1666" t="s">
        <v>1383</v>
      </c>
      <c r="D1666" t="s">
        <v>1384</v>
      </c>
      <c r="E1666" s="5">
        <v>1</v>
      </c>
      <c r="I1666" t="s">
        <v>1385</v>
      </c>
      <c r="J1666" t="s">
        <v>1386</v>
      </c>
      <c r="K1666" s="6">
        <f t="shared" ref="K1666:K1729" si="58">SUM(E1666:H1666)</f>
        <v>1</v>
      </c>
      <c r="M1666" t="s">
        <v>69</v>
      </c>
    </row>
    <row r="1667" spans="1:13" x14ac:dyDescent="0.2">
      <c r="A1667" t="s">
        <v>1383</v>
      </c>
      <c r="B1667">
        <v>2016</v>
      </c>
      <c r="C1667" t="s">
        <v>1383</v>
      </c>
      <c r="D1667" t="s">
        <v>1384</v>
      </c>
      <c r="E1667" s="5">
        <v>1</v>
      </c>
      <c r="I1667" t="s">
        <v>1385</v>
      </c>
      <c r="J1667" t="s">
        <v>1386</v>
      </c>
      <c r="K1667" s="6">
        <f t="shared" si="58"/>
        <v>1</v>
      </c>
      <c r="M1667" t="s">
        <v>69</v>
      </c>
    </row>
    <row r="1668" spans="1:13" x14ac:dyDescent="0.2">
      <c r="A1668" t="s">
        <v>1383</v>
      </c>
      <c r="B1668">
        <v>2017</v>
      </c>
      <c r="C1668" t="s">
        <v>1383</v>
      </c>
      <c r="D1668" t="s">
        <v>1384</v>
      </c>
      <c r="E1668" s="5">
        <v>1</v>
      </c>
      <c r="I1668" t="s">
        <v>1385</v>
      </c>
      <c r="J1668" t="s">
        <v>1386</v>
      </c>
      <c r="K1668" s="6">
        <f t="shared" si="58"/>
        <v>1</v>
      </c>
    </row>
    <row r="1669" spans="1:13" x14ac:dyDescent="0.2">
      <c r="A1669" t="s">
        <v>1383</v>
      </c>
      <c r="B1669">
        <v>2018</v>
      </c>
      <c r="C1669" t="s">
        <v>1383</v>
      </c>
      <c r="D1669" t="s">
        <v>1384</v>
      </c>
      <c r="E1669" s="5">
        <v>1</v>
      </c>
      <c r="I1669" t="s">
        <v>1385</v>
      </c>
      <c r="J1669" t="s">
        <v>1386</v>
      </c>
      <c r="K1669" s="6">
        <f t="shared" si="58"/>
        <v>1</v>
      </c>
    </row>
    <row r="1670" spans="1:13" x14ac:dyDescent="0.2">
      <c r="A1670" t="s">
        <v>1383</v>
      </c>
      <c r="B1670">
        <v>2019</v>
      </c>
      <c r="C1670" t="s">
        <v>1383</v>
      </c>
      <c r="D1670" t="s">
        <v>1384</v>
      </c>
      <c r="E1670" s="5">
        <v>1</v>
      </c>
      <c r="I1670" t="s">
        <v>1385</v>
      </c>
      <c r="J1670" t="s">
        <v>1386</v>
      </c>
      <c r="K1670" s="6">
        <f t="shared" si="58"/>
        <v>1</v>
      </c>
    </row>
    <row r="1671" spans="1:13" x14ac:dyDescent="0.2">
      <c r="A1671" t="s">
        <v>1383</v>
      </c>
      <c r="B1671">
        <v>2011</v>
      </c>
      <c r="C1671" t="s">
        <v>1383</v>
      </c>
      <c r="D1671" t="s">
        <v>1383</v>
      </c>
      <c r="E1671" s="5">
        <f t="shared" ref="E1671:F1680" si="59">1/11</f>
        <v>9.0909090909090912E-2</v>
      </c>
      <c r="F1671" s="5">
        <f t="shared" si="59"/>
        <v>9.0909090909090912E-2</v>
      </c>
      <c r="G1671" s="5">
        <f t="shared" ref="G1671:G1680" si="60">2/11</f>
        <v>0.18181818181818182</v>
      </c>
      <c r="I1671" t="s">
        <v>1387</v>
      </c>
      <c r="J1671" t="s">
        <v>1388</v>
      </c>
      <c r="K1671" s="6">
        <f t="shared" si="58"/>
        <v>0.36363636363636365</v>
      </c>
      <c r="M1671" t="s">
        <v>69</v>
      </c>
    </row>
    <row r="1672" spans="1:13" x14ac:dyDescent="0.2">
      <c r="A1672" t="s">
        <v>1383</v>
      </c>
      <c r="B1672">
        <v>2012</v>
      </c>
      <c r="C1672" t="s">
        <v>1383</v>
      </c>
      <c r="D1672" t="s">
        <v>1383</v>
      </c>
      <c r="E1672" s="5">
        <f t="shared" si="59"/>
        <v>9.0909090909090912E-2</v>
      </c>
      <c r="F1672" s="5">
        <f t="shared" si="59"/>
        <v>9.0909090909090912E-2</v>
      </c>
      <c r="G1672" s="5">
        <f t="shared" si="60"/>
        <v>0.18181818181818182</v>
      </c>
      <c r="I1672" t="s">
        <v>1387</v>
      </c>
      <c r="J1672" t="s">
        <v>1388</v>
      </c>
      <c r="K1672" s="6">
        <f t="shared" si="58"/>
        <v>0.36363636363636365</v>
      </c>
      <c r="M1672" t="s">
        <v>69</v>
      </c>
    </row>
    <row r="1673" spans="1:13" x14ac:dyDescent="0.2">
      <c r="A1673" t="s">
        <v>1383</v>
      </c>
      <c r="B1673">
        <v>2013</v>
      </c>
      <c r="C1673" t="s">
        <v>1383</v>
      </c>
      <c r="D1673" t="s">
        <v>1383</v>
      </c>
      <c r="E1673" s="5">
        <f t="shared" si="59"/>
        <v>9.0909090909090912E-2</v>
      </c>
      <c r="F1673" s="5">
        <f t="shared" si="59"/>
        <v>9.0909090909090912E-2</v>
      </c>
      <c r="G1673" s="5">
        <f t="shared" si="60"/>
        <v>0.18181818181818182</v>
      </c>
      <c r="I1673" t="s">
        <v>1387</v>
      </c>
      <c r="J1673" t="s">
        <v>1388</v>
      </c>
      <c r="K1673" s="6">
        <f t="shared" si="58"/>
        <v>0.36363636363636365</v>
      </c>
      <c r="M1673" t="s">
        <v>69</v>
      </c>
    </row>
    <row r="1674" spans="1:13" x14ac:dyDescent="0.2">
      <c r="A1674" t="s">
        <v>1383</v>
      </c>
      <c r="B1674">
        <v>2014</v>
      </c>
      <c r="C1674" t="s">
        <v>1383</v>
      </c>
      <c r="D1674" t="s">
        <v>1383</v>
      </c>
      <c r="E1674" s="5">
        <f t="shared" si="59"/>
        <v>9.0909090909090912E-2</v>
      </c>
      <c r="F1674" s="5">
        <f t="shared" si="59"/>
        <v>9.0909090909090912E-2</v>
      </c>
      <c r="G1674" s="5">
        <f t="shared" si="60"/>
        <v>0.18181818181818182</v>
      </c>
      <c r="I1674" t="s">
        <v>1387</v>
      </c>
      <c r="J1674" t="s">
        <v>1388</v>
      </c>
      <c r="K1674" s="6">
        <f t="shared" si="58"/>
        <v>0.36363636363636365</v>
      </c>
      <c r="M1674" t="s">
        <v>69</v>
      </c>
    </row>
    <row r="1675" spans="1:13" x14ac:dyDescent="0.2">
      <c r="A1675" t="s">
        <v>1383</v>
      </c>
      <c r="B1675">
        <v>2015</v>
      </c>
      <c r="C1675" t="s">
        <v>1383</v>
      </c>
      <c r="D1675" t="s">
        <v>1383</v>
      </c>
      <c r="E1675" s="5">
        <f t="shared" si="59"/>
        <v>9.0909090909090912E-2</v>
      </c>
      <c r="F1675" s="5">
        <f t="shared" si="59"/>
        <v>9.0909090909090912E-2</v>
      </c>
      <c r="G1675" s="5">
        <f t="shared" si="60"/>
        <v>0.18181818181818182</v>
      </c>
      <c r="I1675" t="s">
        <v>1387</v>
      </c>
      <c r="J1675" t="s">
        <v>1388</v>
      </c>
      <c r="K1675" s="6">
        <f t="shared" si="58"/>
        <v>0.36363636363636365</v>
      </c>
      <c r="M1675" t="s">
        <v>69</v>
      </c>
    </row>
    <row r="1676" spans="1:13" x14ac:dyDescent="0.2">
      <c r="A1676" t="s">
        <v>1383</v>
      </c>
      <c r="B1676">
        <v>2016</v>
      </c>
      <c r="C1676" t="s">
        <v>1383</v>
      </c>
      <c r="D1676" t="s">
        <v>1383</v>
      </c>
      <c r="E1676" s="5">
        <f t="shared" si="59"/>
        <v>9.0909090909090912E-2</v>
      </c>
      <c r="F1676" s="5">
        <f t="shared" si="59"/>
        <v>9.0909090909090912E-2</v>
      </c>
      <c r="G1676" s="5">
        <f t="shared" si="60"/>
        <v>0.18181818181818182</v>
      </c>
      <c r="I1676" t="s">
        <v>1387</v>
      </c>
      <c r="J1676" t="s">
        <v>1388</v>
      </c>
      <c r="K1676" s="6">
        <f t="shared" si="58"/>
        <v>0.36363636363636365</v>
      </c>
    </row>
    <row r="1677" spans="1:13" x14ac:dyDescent="0.2">
      <c r="A1677" t="s">
        <v>1383</v>
      </c>
      <c r="B1677">
        <v>2017</v>
      </c>
      <c r="C1677" t="s">
        <v>1383</v>
      </c>
      <c r="D1677" t="s">
        <v>1383</v>
      </c>
      <c r="E1677" s="5">
        <f t="shared" si="59"/>
        <v>9.0909090909090912E-2</v>
      </c>
      <c r="F1677" s="5">
        <f t="shared" si="59"/>
        <v>9.0909090909090912E-2</v>
      </c>
      <c r="G1677" s="5">
        <f t="shared" si="60"/>
        <v>0.18181818181818182</v>
      </c>
      <c r="I1677" t="s">
        <v>1387</v>
      </c>
      <c r="J1677" t="s">
        <v>1388</v>
      </c>
      <c r="K1677" s="6">
        <f t="shared" si="58"/>
        <v>0.36363636363636365</v>
      </c>
    </row>
    <row r="1678" spans="1:13" x14ac:dyDescent="0.2">
      <c r="A1678" t="s">
        <v>1383</v>
      </c>
      <c r="B1678">
        <v>2018</v>
      </c>
      <c r="C1678" t="s">
        <v>1383</v>
      </c>
      <c r="D1678" t="s">
        <v>1383</v>
      </c>
      <c r="E1678" s="5">
        <f t="shared" si="59"/>
        <v>9.0909090909090912E-2</v>
      </c>
      <c r="F1678" s="5">
        <f t="shared" si="59"/>
        <v>9.0909090909090912E-2</v>
      </c>
      <c r="G1678" s="5">
        <f t="shared" si="60"/>
        <v>0.18181818181818182</v>
      </c>
      <c r="I1678" t="s">
        <v>1387</v>
      </c>
      <c r="J1678" t="s">
        <v>1388</v>
      </c>
      <c r="K1678" s="6">
        <f t="shared" si="58"/>
        <v>0.36363636363636365</v>
      </c>
    </row>
    <row r="1679" spans="1:13" x14ac:dyDescent="0.2">
      <c r="A1679" t="s">
        <v>1383</v>
      </c>
      <c r="B1679">
        <v>2018</v>
      </c>
      <c r="C1679" t="s">
        <v>1383</v>
      </c>
      <c r="D1679" t="s">
        <v>1383</v>
      </c>
      <c r="E1679" s="5">
        <f t="shared" si="59"/>
        <v>9.0909090909090912E-2</v>
      </c>
      <c r="F1679" s="5">
        <f t="shared" si="59"/>
        <v>9.0909090909090912E-2</v>
      </c>
      <c r="G1679" s="5">
        <f t="shared" si="60"/>
        <v>0.18181818181818182</v>
      </c>
      <c r="I1679" t="s">
        <v>1387</v>
      </c>
      <c r="J1679" t="s">
        <v>1388</v>
      </c>
      <c r="K1679" s="6">
        <f t="shared" si="58"/>
        <v>0.36363636363636365</v>
      </c>
    </row>
    <row r="1680" spans="1:13" x14ac:dyDescent="0.2">
      <c r="A1680" t="s">
        <v>1383</v>
      </c>
      <c r="B1680">
        <v>2019</v>
      </c>
      <c r="C1680" t="s">
        <v>1383</v>
      </c>
      <c r="D1680" t="s">
        <v>1383</v>
      </c>
      <c r="E1680" s="5">
        <f t="shared" si="59"/>
        <v>9.0909090909090912E-2</v>
      </c>
      <c r="F1680" s="5">
        <f t="shared" si="59"/>
        <v>9.0909090909090912E-2</v>
      </c>
      <c r="G1680" s="5">
        <f t="shared" si="60"/>
        <v>0.18181818181818182</v>
      </c>
      <c r="I1680" t="s">
        <v>1387</v>
      </c>
      <c r="J1680" t="s">
        <v>1388</v>
      </c>
      <c r="K1680" s="6">
        <f t="shared" si="58"/>
        <v>0.36363636363636365</v>
      </c>
    </row>
    <row r="1681" spans="1:11" x14ac:dyDescent="0.2">
      <c r="A1681" t="s">
        <v>1389</v>
      </c>
      <c r="B1681">
        <v>2012</v>
      </c>
      <c r="C1681" t="s">
        <v>1390</v>
      </c>
      <c r="D1681" t="s">
        <v>1390</v>
      </c>
      <c r="E1681" s="27">
        <f>(987/3451.4)*(522489/(7862+522489))</f>
        <v>0.28173163618167513</v>
      </c>
      <c r="F1681" s="27"/>
      <c r="G1681" s="27">
        <f>(987/3451.4)*(7862/(7862+522489))</f>
        <v>4.2392741735430405E-3</v>
      </c>
      <c r="H1681" s="27"/>
      <c r="I1681" s="8" t="s">
        <v>1391</v>
      </c>
      <c r="J1681" s="8" t="s">
        <v>1392</v>
      </c>
      <c r="K1681" s="6">
        <f t="shared" si="58"/>
        <v>0.28597091035521816</v>
      </c>
    </row>
    <row r="1682" spans="1:11" x14ac:dyDescent="0.2">
      <c r="A1682" t="s">
        <v>1389</v>
      </c>
      <c r="B1682">
        <v>2016</v>
      </c>
      <c r="C1682" t="s">
        <v>1390</v>
      </c>
      <c r="D1682" t="s">
        <v>1390</v>
      </c>
      <c r="E1682" s="5">
        <f>(1495.7/3932.9)*(603254/(603254+11174))</f>
        <v>0.3733883825254129</v>
      </c>
      <c r="G1682" s="5">
        <f>(1495.7/3932.9)*(11174/(603254+11174))</f>
        <v>6.9162273044836228E-3</v>
      </c>
      <c r="I1682" t="s">
        <v>1391</v>
      </c>
      <c r="J1682" t="s">
        <v>1393</v>
      </c>
      <c r="K1682" s="6">
        <f t="shared" si="58"/>
        <v>0.3803046098298965</v>
      </c>
    </row>
    <row r="1683" spans="1:11" x14ac:dyDescent="0.2">
      <c r="A1683" t="s">
        <v>1389</v>
      </c>
      <c r="B1683">
        <v>2010</v>
      </c>
      <c r="C1683" t="s">
        <v>1394</v>
      </c>
      <c r="D1683" t="s">
        <v>1395</v>
      </c>
      <c r="E1683" s="27">
        <f>93000/(93000+5600+9000)</f>
        <v>0.86431226765799252</v>
      </c>
      <c r="F1683" s="27"/>
      <c r="G1683" s="27"/>
      <c r="H1683" s="27"/>
      <c r="I1683" s="8" t="s">
        <v>1396</v>
      </c>
      <c r="J1683" s="8" t="s">
        <v>1397</v>
      </c>
      <c r="K1683" s="6">
        <f t="shared" si="58"/>
        <v>0.86431226765799252</v>
      </c>
    </row>
    <row r="1684" spans="1:11" x14ac:dyDescent="0.2">
      <c r="A1684" t="s">
        <v>1389</v>
      </c>
      <c r="B1684">
        <v>2011</v>
      </c>
      <c r="C1684" t="s">
        <v>1395</v>
      </c>
      <c r="D1684" t="s">
        <v>1395</v>
      </c>
      <c r="E1684" s="27">
        <f>93000/(93000+5600+9000)</f>
        <v>0.86431226765799252</v>
      </c>
      <c r="F1684" s="27"/>
      <c r="G1684" s="27"/>
      <c r="H1684" s="27"/>
      <c r="I1684" s="8" t="s">
        <v>1396</v>
      </c>
      <c r="J1684" s="8" t="s">
        <v>1397</v>
      </c>
      <c r="K1684" s="6">
        <f t="shared" si="58"/>
        <v>0.86431226765799252</v>
      </c>
    </row>
    <row r="1685" spans="1:11" x14ac:dyDescent="0.2">
      <c r="A1685" t="s">
        <v>1389</v>
      </c>
      <c r="B1685">
        <v>2016</v>
      </c>
      <c r="C1685" t="s">
        <v>1398</v>
      </c>
      <c r="D1685" t="s">
        <v>1398</v>
      </c>
      <c r="E1685" s="5">
        <f>(1495.7/3932.9)*(603254/(603254+11174))</f>
        <v>0.3733883825254129</v>
      </c>
      <c r="G1685" s="5">
        <f>(1495.7/3932.9)*(11174/(603254+11174))</f>
        <v>6.9162273044836228E-3</v>
      </c>
      <c r="I1685" t="s">
        <v>1399</v>
      </c>
      <c r="J1685" t="s">
        <v>1393</v>
      </c>
      <c r="K1685" s="6">
        <f t="shared" si="58"/>
        <v>0.3803046098298965</v>
      </c>
    </row>
    <row r="1686" spans="1:11" x14ac:dyDescent="0.2">
      <c r="A1686" s="8" t="s">
        <v>1389</v>
      </c>
      <c r="B1686">
        <v>2017</v>
      </c>
      <c r="C1686" t="s">
        <v>1398</v>
      </c>
      <c r="D1686" t="s">
        <v>1398</v>
      </c>
      <c r="E1686" s="5">
        <f>(1495.7/3932.9)*(603254/(603254+11174))</f>
        <v>0.3733883825254129</v>
      </c>
      <c r="G1686" s="5">
        <f>(1495.7/3932.9)*(11174/(603254+11174))</f>
        <v>6.9162273044836228E-3</v>
      </c>
      <c r="I1686" t="s">
        <v>1399</v>
      </c>
      <c r="J1686" t="s">
        <v>1393</v>
      </c>
      <c r="K1686" s="6">
        <f t="shared" si="58"/>
        <v>0.3803046098298965</v>
      </c>
    </row>
    <row r="1687" spans="1:11" x14ac:dyDescent="0.2">
      <c r="A1687" s="8" t="s">
        <v>1389</v>
      </c>
      <c r="B1687">
        <v>2018</v>
      </c>
      <c r="C1687" s="8" t="s">
        <v>1389</v>
      </c>
      <c r="D1687" t="s">
        <v>1398</v>
      </c>
      <c r="E1687" s="7">
        <v>0</v>
      </c>
      <c r="F1687" s="7">
        <v>0</v>
      </c>
      <c r="G1687" s="7">
        <v>0</v>
      </c>
      <c r="H1687" s="7">
        <v>0</v>
      </c>
      <c r="I1687" t="s">
        <v>1400</v>
      </c>
      <c r="J1687" t="s">
        <v>1393</v>
      </c>
      <c r="K1687" s="6">
        <f t="shared" si="58"/>
        <v>0</v>
      </c>
    </row>
    <row r="1688" spans="1:11" x14ac:dyDescent="0.2">
      <c r="A1688" s="8" t="s">
        <v>1389</v>
      </c>
      <c r="B1688">
        <v>2018</v>
      </c>
      <c r="C1688" t="s">
        <v>1398</v>
      </c>
      <c r="D1688" t="s">
        <v>1398</v>
      </c>
      <c r="E1688" s="7">
        <v>0</v>
      </c>
      <c r="F1688" s="7">
        <v>0</v>
      </c>
      <c r="G1688" s="7">
        <v>0</v>
      </c>
      <c r="H1688" s="7">
        <v>0</v>
      </c>
      <c r="I1688" t="s">
        <v>1400</v>
      </c>
      <c r="J1688" t="s">
        <v>1393</v>
      </c>
      <c r="K1688" s="6">
        <f t="shared" si="58"/>
        <v>0</v>
      </c>
    </row>
    <row r="1689" spans="1:11" x14ac:dyDescent="0.2">
      <c r="A1689" t="s">
        <v>1389</v>
      </c>
      <c r="B1689">
        <v>2018</v>
      </c>
      <c r="C1689" t="s">
        <v>1398</v>
      </c>
      <c r="D1689" t="s">
        <v>1398</v>
      </c>
      <c r="E1689" s="7">
        <v>0</v>
      </c>
      <c r="F1689" s="7">
        <v>0</v>
      </c>
      <c r="G1689" s="7">
        <v>0</v>
      </c>
      <c r="H1689" s="7">
        <v>0</v>
      </c>
      <c r="I1689" t="s">
        <v>1400</v>
      </c>
      <c r="K1689" s="6">
        <f t="shared" si="58"/>
        <v>0</v>
      </c>
    </row>
    <row r="1690" spans="1:11" x14ac:dyDescent="0.2">
      <c r="A1690" t="s">
        <v>1389</v>
      </c>
      <c r="B1690">
        <v>2019</v>
      </c>
      <c r="C1690" t="s">
        <v>1398</v>
      </c>
      <c r="D1690" t="s">
        <v>1398</v>
      </c>
      <c r="E1690" s="7">
        <v>0</v>
      </c>
      <c r="F1690" s="7">
        <v>0</v>
      </c>
      <c r="G1690" s="7">
        <v>0</v>
      </c>
      <c r="H1690" s="7">
        <v>0</v>
      </c>
      <c r="I1690" t="s">
        <v>1400</v>
      </c>
      <c r="K1690" s="6">
        <f t="shared" si="58"/>
        <v>0</v>
      </c>
    </row>
    <row r="1691" spans="1:11" x14ac:dyDescent="0.2">
      <c r="A1691" t="s">
        <v>1389</v>
      </c>
      <c r="B1691">
        <v>2019</v>
      </c>
      <c r="C1691" t="s">
        <v>1398</v>
      </c>
      <c r="D1691" t="s">
        <v>1398</v>
      </c>
      <c r="E1691" s="7">
        <v>0</v>
      </c>
      <c r="F1691" s="7">
        <v>0</v>
      </c>
      <c r="G1691" s="7">
        <v>0</v>
      </c>
      <c r="H1691" s="7">
        <v>0</v>
      </c>
      <c r="I1691" t="s">
        <v>1400</v>
      </c>
      <c r="K1691" s="6">
        <f t="shared" si="58"/>
        <v>0</v>
      </c>
    </row>
    <row r="1692" spans="1:11" x14ac:dyDescent="0.2">
      <c r="A1692" t="s">
        <v>1389</v>
      </c>
      <c r="B1692">
        <v>2015</v>
      </c>
      <c r="C1692" t="s">
        <v>1394</v>
      </c>
      <c r="D1692" t="s">
        <v>1394</v>
      </c>
      <c r="E1692" s="5">
        <f>(1332.6/3105.4)*(605046/(605046+9603))</f>
        <v>0.42241903005550413</v>
      </c>
      <c r="G1692" s="5">
        <f>(1332.6/3105.4)*(9603/(605046+9603))</f>
        <v>6.7044323003920461E-3</v>
      </c>
      <c r="I1692" t="s">
        <v>1399</v>
      </c>
      <c r="J1692" t="s">
        <v>1401</v>
      </c>
      <c r="K1692" s="6">
        <f t="shared" si="58"/>
        <v>0.42912346235589616</v>
      </c>
    </row>
    <row r="1693" spans="1:11" x14ac:dyDescent="0.2">
      <c r="A1693" t="s">
        <v>1389</v>
      </c>
      <c r="B1693">
        <v>2016</v>
      </c>
      <c r="C1693" t="s">
        <v>1394</v>
      </c>
      <c r="D1693" t="s">
        <v>1394</v>
      </c>
      <c r="E1693" s="5">
        <f>(1495.7/3932.9)*(603254/(603254+11174))</f>
        <v>0.3733883825254129</v>
      </c>
      <c r="G1693" s="5">
        <f>(1495.7/3932.9)*(11174/(603254+11174))</f>
        <v>6.9162273044836228E-3</v>
      </c>
      <c r="I1693" t="s">
        <v>1399</v>
      </c>
      <c r="J1693" t="s">
        <v>1393</v>
      </c>
      <c r="K1693" s="6">
        <f t="shared" si="58"/>
        <v>0.3803046098298965</v>
      </c>
    </row>
    <row r="1694" spans="1:11" x14ac:dyDescent="0.2">
      <c r="A1694" t="s">
        <v>1389</v>
      </c>
      <c r="B1694">
        <v>2017</v>
      </c>
      <c r="C1694" t="s">
        <v>1394</v>
      </c>
      <c r="D1694" t="s">
        <v>1394</v>
      </c>
      <c r="E1694" s="5">
        <f>(1495.7/3932.9)*(603254/(603254+11174))</f>
        <v>0.3733883825254129</v>
      </c>
      <c r="G1694" s="5">
        <f>(1495.7/3932.9)*(11174/(603254+11174))</f>
        <v>6.9162273044836228E-3</v>
      </c>
      <c r="I1694" t="s">
        <v>1399</v>
      </c>
      <c r="J1694" t="s">
        <v>1393</v>
      </c>
      <c r="K1694" s="6">
        <f t="shared" si="58"/>
        <v>0.3803046098298965</v>
      </c>
    </row>
    <row r="1695" spans="1:11" x14ac:dyDescent="0.2">
      <c r="A1695" s="8" t="s">
        <v>1389</v>
      </c>
      <c r="B1695">
        <v>2018</v>
      </c>
      <c r="C1695" s="8" t="s">
        <v>1389</v>
      </c>
      <c r="D1695" t="s">
        <v>1394</v>
      </c>
      <c r="E1695" s="7">
        <v>0</v>
      </c>
      <c r="F1695" s="7">
        <v>0</v>
      </c>
      <c r="G1695" s="7">
        <v>0</v>
      </c>
      <c r="H1695" s="7">
        <v>0</v>
      </c>
      <c r="I1695" t="s">
        <v>1400</v>
      </c>
      <c r="J1695" t="s">
        <v>1393</v>
      </c>
      <c r="K1695" s="6">
        <f t="shared" si="58"/>
        <v>0</v>
      </c>
    </row>
    <row r="1696" spans="1:11" x14ac:dyDescent="0.2">
      <c r="A1696" t="s">
        <v>1389</v>
      </c>
      <c r="B1696">
        <v>2018</v>
      </c>
      <c r="C1696" s="8" t="s">
        <v>1389</v>
      </c>
      <c r="D1696" t="s">
        <v>1394</v>
      </c>
      <c r="E1696" s="7">
        <v>0</v>
      </c>
      <c r="F1696" s="7">
        <v>0</v>
      </c>
      <c r="G1696" s="7">
        <v>0</v>
      </c>
      <c r="H1696" s="7">
        <v>0</v>
      </c>
      <c r="I1696" t="s">
        <v>1400</v>
      </c>
      <c r="K1696" s="6">
        <f t="shared" si="58"/>
        <v>0</v>
      </c>
    </row>
    <row r="1697" spans="1:11" x14ac:dyDescent="0.2">
      <c r="A1697" t="s">
        <v>1389</v>
      </c>
      <c r="B1697">
        <v>2018</v>
      </c>
      <c r="C1697" t="s">
        <v>1394</v>
      </c>
      <c r="D1697" t="s">
        <v>1394</v>
      </c>
      <c r="E1697" s="7">
        <v>0</v>
      </c>
      <c r="F1697" s="7">
        <v>0</v>
      </c>
      <c r="G1697" s="7">
        <v>0</v>
      </c>
      <c r="H1697" s="7">
        <v>0</v>
      </c>
      <c r="I1697" t="s">
        <v>1400</v>
      </c>
      <c r="K1697" s="6">
        <f t="shared" si="58"/>
        <v>0</v>
      </c>
    </row>
    <row r="1698" spans="1:11" x14ac:dyDescent="0.2">
      <c r="A1698" t="s">
        <v>1389</v>
      </c>
      <c r="B1698">
        <v>2019</v>
      </c>
      <c r="C1698" t="s">
        <v>1394</v>
      </c>
      <c r="D1698" t="s">
        <v>1394</v>
      </c>
      <c r="E1698" s="7">
        <v>0</v>
      </c>
      <c r="F1698" s="7">
        <v>0</v>
      </c>
      <c r="G1698" s="7">
        <v>0</v>
      </c>
      <c r="H1698" s="7">
        <v>0</v>
      </c>
      <c r="I1698" t="s">
        <v>1400</v>
      </c>
      <c r="K1698" s="6">
        <f t="shared" si="58"/>
        <v>0</v>
      </c>
    </row>
    <row r="1699" spans="1:11" x14ac:dyDescent="0.2">
      <c r="A1699" t="s">
        <v>1389</v>
      </c>
      <c r="B1699">
        <v>2019</v>
      </c>
      <c r="C1699" t="s">
        <v>1394</v>
      </c>
      <c r="D1699" t="s">
        <v>1394</v>
      </c>
      <c r="E1699" s="7">
        <v>0</v>
      </c>
      <c r="F1699" s="7">
        <v>0</v>
      </c>
      <c r="G1699" s="7">
        <v>0</v>
      </c>
      <c r="H1699" s="7">
        <v>0</v>
      </c>
      <c r="I1699" t="s">
        <v>1400</v>
      </c>
      <c r="K1699" s="6">
        <f t="shared" si="58"/>
        <v>0</v>
      </c>
    </row>
    <row r="1700" spans="1:11" x14ac:dyDescent="0.2">
      <c r="A1700" t="s">
        <v>1389</v>
      </c>
      <c r="B1700">
        <v>2016</v>
      </c>
      <c r="C1700" t="s">
        <v>1402</v>
      </c>
      <c r="D1700" t="s">
        <v>1402</v>
      </c>
      <c r="E1700" s="5">
        <f>(1495.7/3932.9)*(603254/(603254+11174))</f>
        <v>0.3733883825254129</v>
      </c>
      <c r="G1700" s="5">
        <f>(1495.7/3932.9)*(11174/(603254+11174))</f>
        <v>6.9162273044836228E-3</v>
      </c>
      <c r="I1700" t="s">
        <v>1399</v>
      </c>
      <c r="J1700" t="s">
        <v>1393</v>
      </c>
      <c r="K1700" s="6">
        <f t="shared" si="58"/>
        <v>0.3803046098298965</v>
      </c>
    </row>
    <row r="1701" spans="1:11" x14ac:dyDescent="0.2">
      <c r="A1701" t="s">
        <v>1389</v>
      </c>
      <c r="B1701">
        <v>2013</v>
      </c>
      <c r="C1701" t="s">
        <v>1403</v>
      </c>
      <c r="D1701" t="s">
        <v>1403</v>
      </c>
      <c r="E1701" s="27">
        <f>(1250.1/3779.1)*(525325/(7811+525325))</f>
        <v>0.32594658186782266</v>
      </c>
      <c r="F1701" s="27"/>
      <c r="G1701" s="27">
        <f>(1250.1/3779.1)*(7811/(7811+525325))</f>
        <v>4.8464640955019509E-3</v>
      </c>
      <c r="H1701" s="27"/>
      <c r="I1701" s="8" t="s">
        <v>1404</v>
      </c>
      <c r="J1701" s="8" t="s">
        <v>1405</v>
      </c>
      <c r="K1701" s="6">
        <f t="shared" si="58"/>
        <v>0.33079304596332459</v>
      </c>
    </row>
    <row r="1702" spans="1:11" x14ac:dyDescent="0.2">
      <c r="A1702" s="8" t="s">
        <v>1389</v>
      </c>
      <c r="B1702">
        <v>2017</v>
      </c>
      <c r="C1702" s="8" t="s">
        <v>1389</v>
      </c>
      <c r="D1702" t="s">
        <v>1406</v>
      </c>
      <c r="E1702" s="11">
        <f>602732/(602732+13339+5613+8956)</f>
        <v>0.95574654319421537</v>
      </c>
      <c r="G1702" s="11">
        <f>13339/(602732+13339+5613+8956)</f>
        <v>2.1151528605860712E-2</v>
      </c>
      <c r="I1702" s="5" t="s">
        <v>1407</v>
      </c>
      <c r="J1702" s="5" t="s">
        <v>1408</v>
      </c>
      <c r="K1702" s="6">
        <f t="shared" si="58"/>
        <v>0.97689807180007604</v>
      </c>
    </row>
    <row r="1703" spans="1:11" x14ac:dyDescent="0.2">
      <c r="A1703" s="8" t="s">
        <v>1389</v>
      </c>
      <c r="B1703">
        <v>2018</v>
      </c>
      <c r="C1703" s="8" t="s">
        <v>1389</v>
      </c>
      <c r="D1703" t="s">
        <v>1406</v>
      </c>
      <c r="E1703" s="12">
        <f>599993/(599993+14705+5613+8956)</f>
        <v>0.95347920675961073</v>
      </c>
      <c r="F1703" s="7"/>
      <c r="G1703" s="12">
        <f>14705/(599993+14705+5613+8956)</f>
        <v>2.3368458857686802E-2</v>
      </c>
      <c r="H1703" s="7"/>
      <c r="I1703" s="7" t="s">
        <v>1407</v>
      </c>
      <c r="J1703" s="7" t="s">
        <v>1409</v>
      </c>
      <c r="K1703" s="6">
        <f t="shared" si="58"/>
        <v>0.97684766561729752</v>
      </c>
    </row>
    <row r="1704" spans="1:11" x14ac:dyDescent="0.2">
      <c r="A1704" t="s">
        <v>1389</v>
      </c>
      <c r="B1704">
        <v>2018</v>
      </c>
      <c r="C1704" s="8" t="s">
        <v>1389</v>
      </c>
      <c r="D1704" t="s">
        <v>1406</v>
      </c>
      <c r="E1704" s="12">
        <f>599993/(599993+14705+5613+8956)</f>
        <v>0.95347920675961073</v>
      </c>
      <c r="F1704" s="7"/>
      <c r="G1704" s="12">
        <f>14705/(599993+14705+5613+8956)</f>
        <v>2.3368458857686802E-2</v>
      </c>
      <c r="H1704" s="7"/>
      <c r="I1704" s="7" t="s">
        <v>1407</v>
      </c>
      <c r="J1704" s="7" t="s">
        <v>1409</v>
      </c>
      <c r="K1704" s="6">
        <f t="shared" si="58"/>
        <v>0.97684766561729752</v>
      </c>
    </row>
    <row r="1705" spans="1:11" x14ac:dyDescent="0.2">
      <c r="A1705" t="s">
        <v>1389</v>
      </c>
      <c r="B1705">
        <v>2018</v>
      </c>
      <c r="C1705" t="s">
        <v>1410</v>
      </c>
      <c r="D1705" t="s">
        <v>1410</v>
      </c>
      <c r="E1705" s="12">
        <f>599993/(599993+14705+5613+8956)</f>
        <v>0.95347920675961073</v>
      </c>
      <c r="F1705" s="7"/>
      <c r="G1705" s="12">
        <f>14705/(599993+14705+5613+8956)</f>
        <v>2.3368458857686802E-2</v>
      </c>
      <c r="H1705" s="7"/>
      <c r="I1705" s="7" t="s">
        <v>1407</v>
      </c>
      <c r="J1705" s="7" t="s">
        <v>1409</v>
      </c>
      <c r="K1705" s="6">
        <f t="shared" si="58"/>
        <v>0.97684766561729752</v>
      </c>
    </row>
    <row r="1706" spans="1:11" x14ac:dyDescent="0.2">
      <c r="A1706" s="9" t="s">
        <v>1389</v>
      </c>
      <c r="B1706" s="9">
        <v>2019</v>
      </c>
      <c r="C1706" s="9" t="s">
        <v>1406</v>
      </c>
      <c r="D1706" s="9" t="s">
        <v>1406</v>
      </c>
      <c r="E1706" s="13">
        <f>599993/(599993+14705+5613+8956)</f>
        <v>0.95347920675961073</v>
      </c>
      <c r="F1706" s="10"/>
      <c r="G1706" s="13">
        <f>14705/(599993+14705+5613+8956)</f>
        <v>2.3368458857686802E-2</v>
      </c>
      <c r="H1706" s="10"/>
      <c r="I1706" s="10" t="s">
        <v>1407</v>
      </c>
      <c r="J1706" s="10" t="s">
        <v>1409</v>
      </c>
      <c r="K1706" s="6">
        <f t="shared" si="58"/>
        <v>0.97684766561729752</v>
      </c>
    </row>
    <row r="1707" spans="1:11" x14ac:dyDescent="0.2">
      <c r="A1707" s="9" t="s">
        <v>1389</v>
      </c>
      <c r="B1707" s="9">
        <v>2019</v>
      </c>
      <c r="C1707" s="9" t="s">
        <v>1406</v>
      </c>
      <c r="D1707" s="9" t="s">
        <v>1406</v>
      </c>
      <c r="E1707" s="13">
        <f>599993/(599993+14705+5613+8956)</f>
        <v>0.95347920675961073</v>
      </c>
      <c r="F1707" s="10"/>
      <c r="G1707" s="13">
        <f>14705/(599993+14705+5613+8956)</f>
        <v>2.3368458857686802E-2</v>
      </c>
      <c r="H1707" s="10"/>
      <c r="I1707" s="10" t="s">
        <v>1407</v>
      </c>
      <c r="J1707" s="10" t="s">
        <v>1409</v>
      </c>
      <c r="K1707" s="6">
        <f t="shared" si="58"/>
        <v>0.97684766561729752</v>
      </c>
    </row>
    <row r="1708" spans="1:11" x14ac:dyDescent="0.2">
      <c r="A1708" t="s">
        <v>1389</v>
      </c>
      <c r="B1708">
        <v>2014</v>
      </c>
      <c r="C1708" t="s">
        <v>1394</v>
      </c>
      <c r="D1708" t="s">
        <v>1411</v>
      </c>
      <c r="E1708" s="5">
        <f>525290/(525290+8749)</f>
        <v>0.98361730135814052</v>
      </c>
      <c r="G1708" s="5">
        <f>8749/(525290+8749)</f>
        <v>1.638269864185949E-2</v>
      </c>
      <c r="I1708" t="s">
        <v>1412</v>
      </c>
      <c r="J1708" t="s">
        <v>1413</v>
      </c>
      <c r="K1708" s="6">
        <f t="shared" si="58"/>
        <v>1</v>
      </c>
    </row>
    <row r="1709" spans="1:11" x14ac:dyDescent="0.2">
      <c r="A1709" s="8" t="s">
        <v>1389</v>
      </c>
      <c r="B1709">
        <v>2017</v>
      </c>
      <c r="C1709" s="8" t="s">
        <v>1389</v>
      </c>
      <c r="D1709" t="s">
        <v>1411</v>
      </c>
      <c r="E1709" s="11">
        <f>602732/(602732+13339+5613+8956)</f>
        <v>0.95574654319421537</v>
      </c>
      <c r="G1709" s="11">
        <f>13339/(602732+13339+5613+8956)</f>
        <v>2.1151528605860712E-2</v>
      </c>
      <c r="I1709" s="5" t="s">
        <v>1407</v>
      </c>
      <c r="J1709" s="5" t="s">
        <v>1408</v>
      </c>
      <c r="K1709" s="6">
        <f t="shared" si="58"/>
        <v>0.97689807180007604</v>
      </c>
    </row>
    <row r="1710" spans="1:11" x14ac:dyDescent="0.2">
      <c r="A1710" s="8" t="s">
        <v>1389</v>
      </c>
      <c r="B1710">
        <v>2017</v>
      </c>
      <c r="C1710" s="8" t="s">
        <v>1389</v>
      </c>
      <c r="D1710" t="s">
        <v>1414</v>
      </c>
      <c r="E1710" s="11">
        <f>602732/(602732+13339+5613+8956)</f>
        <v>0.95574654319421537</v>
      </c>
      <c r="G1710" s="11">
        <f>13339/(602732+13339+5613+8956)</f>
        <v>2.1151528605860712E-2</v>
      </c>
      <c r="I1710" s="5" t="s">
        <v>1407</v>
      </c>
      <c r="J1710" s="5" t="s">
        <v>1408</v>
      </c>
      <c r="K1710" s="6">
        <f t="shared" si="58"/>
        <v>0.97689807180007604</v>
      </c>
    </row>
    <row r="1711" spans="1:11" x14ac:dyDescent="0.2">
      <c r="A1711" t="s">
        <v>1415</v>
      </c>
      <c r="B1711">
        <v>2012</v>
      </c>
      <c r="C1711" t="s">
        <v>1416</v>
      </c>
      <c r="D1711" t="s">
        <v>1416</v>
      </c>
      <c r="F1711" s="5">
        <v>1</v>
      </c>
      <c r="I1711" t="s">
        <v>1417</v>
      </c>
      <c r="J1711" t="s">
        <v>1418</v>
      </c>
      <c r="K1711" s="6">
        <f t="shared" si="58"/>
        <v>1</v>
      </c>
    </row>
    <row r="1712" spans="1:11" x14ac:dyDescent="0.2">
      <c r="A1712" t="s">
        <v>1415</v>
      </c>
      <c r="B1712">
        <v>2016</v>
      </c>
      <c r="C1712" t="s">
        <v>1419</v>
      </c>
      <c r="D1712" t="s">
        <v>1420</v>
      </c>
      <c r="F1712" s="5">
        <v>1</v>
      </c>
      <c r="I1712" t="s">
        <v>1417</v>
      </c>
      <c r="J1712" t="s">
        <v>1418</v>
      </c>
      <c r="K1712" s="6">
        <f t="shared" si="58"/>
        <v>1</v>
      </c>
    </row>
    <row r="1713" spans="1:11" x14ac:dyDescent="0.2">
      <c r="A1713" t="s">
        <v>1415</v>
      </c>
      <c r="B1713">
        <v>2011</v>
      </c>
      <c r="C1713" t="s">
        <v>1421</v>
      </c>
      <c r="D1713" t="s">
        <v>1421</v>
      </c>
      <c r="F1713" s="5">
        <v>1</v>
      </c>
      <c r="I1713" t="s">
        <v>1417</v>
      </c>
      <c r="J1713" t="s">
        <v>1418</v>
      </c>
      <c r="K1713" s="6">
        <f t="shared" si="58"/>
        <v>1</v>
      </c>
    </row>
    <row r="1714" spans="1:11" x14ac:dyDescent="0.2">
      <c r="A1714" t="s">
        <v>1415</v>
      </c>
      <c r="B1714">
        <v>2012</v>
      </c>
      <c r="C1714" t="s">
        <v>1421</v>
      </c>
      <c r="D1714" t="s">
        <v>1421</v>
      </c>
      <c r="F1714" s="5">
        <v>1</v>
      </c>
      <c r="I1714" t="s">
        <v>1417</v>
      </c>
      <c r="J1714" t="s">
        <v>1418</v>
      </c>
      <c r="K1714" s="6">
        <f t="shared" si="58"/>
        <v>1</v>
      </c>
    </row>
    <row r="1715" spans="1:11" x14ac:dyDescent="0.2">
      <c r="A1715" s="8" t="s">
        <v>1415</v>
      </c>
      <c r="B1715">
        <v>2017</v>
      </c>
      <c r="C1715" s="8" t="s">
        <v>1415</v>
      </c>
      <c r="D1715" t="s">
        <v>1422</v>
      </c>
      <c r="F1715" s="5">
        <v>1</v>
      </c>
      <c r="I1715" t="s">
        <v>1423</v>
      </c>
      <c r="K1715" s="6">
        <f t="shared" si="58"/>
        <v>1</v>
      </c>
    </row>
    <row r="1716" spans="1:11" x14ac:dyDescent="0.2">
      <c r="A1716" s="8" t="s">
        <v>1415</v>
      </c>
      <c r="B1716">
        <v>2018</v>
      </c>
      <c r="C1716" s="8" t="s">
        <v>1415</v>
      </c>
      <c r="D1716" t="s">
        <v>1422</v>
      </c>
      <c r="F1716" s="5">
        <v>1</v>
      </c>
      <c r="I1716" t="s">
        <v>1423</v>
      </c>
      <c r="K1716" s="6">
        <f t="shared" si="58"/>
        <v>1</v>
      </c>
    </row>
    <row r="1717" spans="1:11" x14ac:dyDescent="0.2">
      <c r="A1717" t="s">
        <v>1415</v>
      </c>
      <c r="B1717">
        <v>2015</v>
      </c>
      <c r="C1717" t="s">
        <v>1424</v>
      </c>
      <c r="D1717" t="s">
        <v>1424</v>
      </c>
      <c r="F1717" s="5">
        <v>1</v>
      </c>
      <c r="I1717" t="s">
        <v>1417</v>
      </c>
      <c r="J1717" t="s">
        <v>1418</v>
      </c>
      <c r="K1717" s="6">
        <f t="shared" si="58"/>
        <v>1</v>
      </c>
    </row>
    <row r="1718" spans="1:11" x14ac:dyDescent="0.2">
      <c r="A1718" t="s">
        <v>1415</v>
      </c>
      <c r="B1718">
        <v>2016</v>
      </c>
      <c r="C1718" t="s">
        <v>1424</v>
      </c>
      <c r="D1718" t="s">
        <v>1424</v>
      </c>
      <c r="F1718" s="5">
        <v>1</v>
      </c>
      <c r="I1718" t="s">
        <v>1417</v>
      </c>
      <c r="J1718" t="s">
        <v>1418</v>
      </c>
      <c r="K1718" s="6">
        <f t="shared" si="58"/>
        <v>1</v>
      </c>
    </row>
    <row r="1719" spans="1:11" x14ac:dyDescent="0.2">
      <c r="A1719" s="8" t="s">
        <v>1415</v>
      </c>
      <c r="B1719">
        <v>2017</v>
      </c>
      <c r="C1719" s="8" t="s">
        <v>1415</v>
      </c>
      <c r="D1719" t="s">
        <v>1424</v>
      </c>
      <c r="F1719" s="5">
        <v>1</v>
      </c>
      <c r="I1719" t="s">
        <v>1423</v>
      </c>
      <c r="K1719" s="6">
        <f t="shared" si="58"/>
        <v>1</v>
      </c>
    </row>
    <row r="1720" spans="1:11" x14ac:dyDescent="0.2">
      <c r="A1720" s="8" t="s">
        <v>1415</v>
      </c>
      <c r="B1720">
        <v>2018</v>
      </c>
      <c r="C1720" s="8" t="s">
        <v>1415</v>
      </c>
      <c r="D1720" t="s">
        <v>1424</v>
      </c>
      <c r="F1720" s="5">
        <v>1</v>
      </c>
      <c r="I1720" t="s">
        <v>1423</v>
      </c>
      <c r="K1720" s="6">
        <f t="shared" si="58"/>
        <v>1</v>
      </c>
    </row>
    <row r="1721" spans="1:11" x14ac:dyDescent="0.2">
      <c r="A1721" t="s">
        <v>1415</v>
      </c>
      <c r="B1721">
        <v>2018</v>
      </c>
      <c r="C1721" s="8" t="s">
        <v>1415</v>
      </c>
      <c r="D1721" t="s">
        <v>1424</v>
      </c>
      <c r="E1721" s="25"/>
      <c r="F1721" s="5">
        <v>1</v>
      </c>
      <c r="I1721" t="s">
        <v>1417</v>
      </c>
      <c r="J1721" t="s">
        <v>1418</v>
      </c>
      <c r="K1721" s="6">
        <f t="shared" si="58"/>
        <v>1</v>
      </c>
    </row>
    <row r="1722" spans="1:11" x14ac:dyDescent="0.2">
      <c r="A1722" t="s">
        <v>1415</v>
      </c>
      <c r="B1722">
        <v>2018</v>
      </c>
      <c r="C1722" t="s">
        <v>1424</v>
      </c>
      <c r="D1722" t="s">
        <v>1424</v>
      </c>
      <c r="E1722" s="25"/>
      <c r="F1722" s="5">
        <v>1</v>
      </c>
      <c r="I1722" t="s">
        <v>1417</v>
      </c>
      <c r="J1722" t="s">
        <v>1418</v>
      </c>
      <c r="K1722" s="6">
        <f t="shared" si="58"/>
        <v>1</v>
      </c>
    </row>
    <row r="1723" spans="1:11" x14ac:dyDescent="0.2">
      <c r="A1723" t="s">
        <v>1415</v>
      </c>
      <c r="B1723">
        <v>2018</v>
      </c>
      <c r="C1723" s="8" t="s">
        <v>1415</v>
      </c>
      <c r="D1723" t="s">
        <v>1424</v>
      </c>
      <c r="F1723" s="5">
        <v>1</v>
      </c>
      <c r="I1723" t="s">
        <v>1417</v>
      </c>
      <c r="K1723" s="6">
        <f t="shared" si="58"/>
        <v>1</v>
      </c>
    </row>
    <row r="1724" spans="1:11" x14ac:dyDescent="0.2">
      <c r="A1724" t="s">
        <v>1415</v>
      </c>
      <c r="B1724">
        <v>2018</v>
      </c>
      <c r="C1724" t="s">
        <v>1424</v>
      </c>
      <c r="D1724" t="s">
        <v>1424</v>
      </c>
      <c r="F1724" s="5">
        <v>1</v>
      </c>
      <c r="I1724" t="s">
        <v>1417</v>
      </c>
      <c r="K1724" s="6">
        <f t="shared" si="58"/>
        <v>1</v>
      </c>
    </row>
    <row r="1725" spans="1:11" x14ac:dyDescent="0.2">
      <c r="A1725" t="s">
        <v>1415</v>
      </c>
      <c r="B1725">
        <v>2018</v>
      </c>
      <c r="C1725" t="s">
        <v>1425</v>
      </c>
      <c r="D1725" t="s">
        <v>1425</v>
      </c>
      <c r="E1725" s="25"/>
      <c r="F1725" s="5">
        <v>1</v>
      </c>
      <c r="I1725" t="s">
        <v>1417</v>
      </c>
      <c r="J1725" t="s">
        <v>1418</v>
      </c>
      <c r="K1725" s="6">
        <f t="shared" si="58"/>
        <v>1</v>
      </c>
    </row>
    <row r="1726" spans="1:11" x14ac:dyDescent="0.2">
      <c r="A1726" t="s">
        <v>1415</v>
      </c>
      <c r="B1726">
        <v>2018</v>
      </c>
      <c r="C1726" t="s">
        <v>1425</v>
      </c>
      <c r="D1726" t="s">
        <v>1425</v>
      </c>
      <c r="F1726" s="5">
        <v>1</v>
      </c>
      <c r="I1726" t="s">
        <v>1417</v>
      </c>
      <c r="J1726" t="s">
        <v>1418</v>
      </c>
      <c r="K1726" s="6">
        <f t="shared" si="58"/>
        <v>1</v>
      </c>
    </row>
    <row r="1727" spans="1:11" x14ac:dyDescent="0.2">
      <c r="A1727" t="s">
        <v>1415</v>
      </c>
      <c r="B1727">
        <v>2014</v>
      </c>
      <c r="C1727" t="s">
        <v>1426</v>
      </c>
      <c r="D1727" t="s">
        <v>1426</v>
      </c>
      <c r="E1727" s="5">
        <v>1</v>
      </c>
      <c r="I1727" t="s">
        <v>1427</v>
      </c>
      <c r="J1727" t="s">
        <v>1428</v>
      </c>
      <c r="K1727" s="6">
        <f t="shared" si="58"/>
        <v>1</v>
      </c>
    </row>
    <row r="1728" spans="1:11" x14ac:dyDescent="0.2">
      <c r="A1728" t="s">
        <v>1415</v>
      </c>
      <c r="B1728">
        <v>2016</v>
      </c>
      <c r="C1728" t="s">
        <v>1426</v>
      </c>
      <c r="D1728" t="s">
        <v>1426</v>
      </c>
      <c r="E1728" s="5">
        <v>1</v>
      </c>
      <c r="I1728" t="s">
        <v>1429</v>
      </c>
      <c r="J1728" t="s">
        <v>1428</v>
      </c>
      <c r="K1728" s="6">
        <f t="shared" si="58"/>
        <v>1</v>
      </c>
    </row>
    <row r="1729" spans="1:11" x14ac:dyDescent="0.2">
      <c r="A1729" t="s">
        <v>1415</v>
      </c>
      <c r="B1729">
        <v>2018</v>
      </c>
      <c r="C1729" t="s">
        <v>1426</v>
      </c>
      <c r="D1729" t="s">
        <v>1426</v>
      </c>
      <c r="E1729" s="5">
        <v>1</v>
      </c>
      <c r="I1729" t="s">
        <v>1429</v>
      </c>
      <c r="J1729" t="s">
        <v>1428</v>
      </c>
      <c r="K1729" s="6">
        <f t="shared" si="58"/>
        <v>1</v>
      </c>
    </row>
    <row r="1730" spans="1:11" x14ac:dyDescent="0.2">
      <c r="A1730" t="s">
        <v>1415</v>
      </c>
      <c r="B1730">
        <v>2018</v>
      </c>
      <c r="C1730" s="8" t="s">
        <v>1415</v>
      </c>
      <c r="D1730" t="s">
        <v>1426</v>
      </c>
      <c r="E1730" s="5">
        <v>1</v>
      </c>
      <c r="I1730" t="s">
        <v>1429</v>
      </c>
      <c r="J1730" t="s">
        <v>1428</v>
      </c>
      <c r="K1730" s="6">
        <f t="shared" ref="K1730:K1793" si="61">SUM(E1730:H1730)</f>
        <v>1</v>
      </c>
    </row>
    <row r="1731" spans="1:11" x14ac:dyDescent="0.2">
      <c r="A1731" t="s">
        <v>1415</v>
      </c>
      <c r="B1731">
        <v>2018</v>
      </c>
      <c r="C1731" s="8" t="s">
        <v>1415</v>
      </c>
      <c r="D1731" t="s">
        <v>1426</v>
      </c>
      <c r="E1731" s="5">
        <v>1</v>
      </c>
      <c r="I1731" t="s">
        <v>1429</v>
      </c>
      <c r="J1731" t="s">
        <v>1428</v>
      </c>
      <c r="K1731" s="6">
        <f t="shared" si="61"/>
        <v>1</v>
      </c>
    </row>
    <row r="1732" spans="1:11" x14ac:dyDescent="0.2">
      <c r="A1732" t="s">
        <v>1415</v>
      </c>
      <c r="B1732">
        <v>2012</v>
      </c>
      <c r="C1732" t="s">
        <v>1430</v>
      </c>
      <c r="D1732" t="s">
        <v>1430</v>
      </c>
      <c r="E1732" s="5">
        <v>1</v>
      </c>
      <c r="I1732" t="s">
        <v>1429</v>
      </c>
      <c r="J1732" t="s">
        <v>1428</v>
      </c>
      <c r="K1732" s="6">
        <f t="shared" si="61"/>
        <v>1</v>
      </c>
    </row>
    <row r="1733" spans="1:11" x14ac:dyDescent="0.2">
      <c r="A1733" t="s">
        <v>1415</v>
      </c>
      <c r="B1733">
        <v>2015</v>
      </c>
      <c r="C1733" t="s">
        <v>1430</v>
      </c>
      <c r="D1733" t="s">
        <v>1430</v>
      </c>
      <c r="E1733" s="5">
        <v>1</v>
      </c>
      <c r="I1733" t="s">
        <v>1429</v>
      </c>
      <c r="J1733" t="s">
        <v>1428</v>
      </c>
      <c r="K1733" s="6">
        <f t="shared" si="61"/>
        <v>1</v>
      </c>
    </row>
    <row r="1734" spans="1:11" x14ac:dyDescent="0.2">
      <c r="A1734" t="s">
        <v>1415</v>
      </c>
      <c r="B1734">
        <v>2016</v>
      </c>
      <c r="C1734" t="s">
        <v>1430</v>
      </c>
      <c r="D1734" t="s">
        <v>1430</v>
      </c>
      <c r="E1734" s="5">
        <v>1</v>
      </c>
      <c r="I1734" t="s">
        <v>1429</v>
      </c>
      <c r="J1734" t="s">
        <v>1428</v>
      </c>
      <c r="K1734" s="6">
        <f t="shared" si="61"/>
        <v>1</v>
      </c>
    </row>
    <row r="1735" spans="1:11" x14ac:dyDescent="0.2">
      <c r="A1735" t="s">
        <v>1415</v>
      </c>
      <c r="B1735">
        <v>2017</v>
      </c>
      <c r="C1735" t="s">
        <v>1430</v>
      </c>
      <c r="D1735" t="s">
        <v>1430</v>
      </c>
      <c r="E1735" s="5">
        <v>1</v>
      </c>
      <c r="I1735" t="s">
        <v>1429</v>
      </c>
      <c r="J1735" t="s">
        <v>1428</v>
      </c>
      <c r="K1735" s="6">
        <f t="shared" si="61"/>
        <v>1</v>
      </c>
    </row>
    <row r="1736" spans="1:11" x14ac:dyDescent="0.2">
      <c r="A1736" t="s">
        <v>1415</v>
      </c>
      <c r="B1736">
        <v>2018</v>
      </c>
      <c r="C1736" t="s">
        <v>1430</v>
      </c>
      <c r="D1736" t="s">
        <v>1430</v>
      </c>
      <c r="E1736" s="5">
        <v>1</v>
      </c>
      <c r="I1736" t="s">
        <v>1429</v>
      </c>
      <c r="J1736" t="s">
        <v>1428</v>
      </c>
      <c r="K1736" s="6">
        <f t="shared" si="61"/>
        <v>1</v>
      </c>
    </row>
    <row r="1737" spans="1:11" x14ac:dyDescent="0.2">
      <c r="A1737" t="s">
        <v>1415</v>
      </c>
      <c r="B1737">
        <v>2018</v>
      </c>
      <c r="C1737" s="8" t="s">
        <v>1415</v>
      </c>
      <c r="D1737" t="s">
        <v>1430</v>
      </c>
      <c r="E1737" s="5">
        <v>1</v>
      </c>
      <c r="I1737" t="s">
        <v>1429</v>
      </c>
      <c r="J1737" t="s">
        <v>1428</v>
      </c>
      <c r="K1737" s="6">
        <f t="shared" si="61"/>
        <v>1</v>
      </c>
    </row>
    <row r="1738" spans="1:11" x14ac:dyDescent="0.2">
      <c r="A1738" t="s">
        <v>1415</v>
      </c>
      <c r="B1738">
        <v>2018</v>
      </c>
      <c r="C1738" t="s">
        <v>1431</v>
      </c>
      <c r="D1738" t="s">
        <v>1431</v>
      </c>
      <c r="E1738" s="5">
        <v>1</v>
      </c>
      <c r="I1738" t="s">
        <v>1429</v>
      </c>
      <c r="J1738" t="s">
        <v>1428</v>
      </c>
      <c r="K1738" s="6">
        <f t="shared" si="61"/>
        <v>1</v>
      </c>
    </row>
    <row r="1739" spans="1:11" x14ac:dyDescent="0.2">
      <c r="A1739" t="s">
        <v>1415</v>
      </c>
      <c r="B1739">
        <v>2018</v>
      </c>
      <c r="C1739" s="8" t="s">
        <v>1415</v>
      </c>
      <c r="D1739" t="s">
        <v>1430</v>
      </c>
      <c r="E1739" s="5">
        <v>1</v>
      </c>
      <c r="I1739" t="s">
        <v>1429</v>
      </c>
      <c r="J1739" t="s">
        <v>1428</v>
      </c>
      <c r="K1739" s="6">
        <f t="shared" si="61"/>
        <v>1</v>
      </c>
    </row>
    <row r="1740" spans="1:11" x14ac:dyDescent="0.2">
      <c r="A1740" t="s">
        <v>1415</v>
      </c>
      <c r="B1740">
        <v>2018</v>
      </c>
      <c r="C1740" t="s">
        <v>1431</v>
      </c>
      <c r="D1740" t="s">
        <v>1431</v>
      </c>
      <c r="E1740" s="5">
        <v>1</v>
      </c>
      <c r="I1740" t="s">
        <v>1429</v>
      </c>
      <c r="J1740" t="s">
        <v>1428</v>
      </c>
      <c r="K1740" s="6">
        <f t="shared" si="61"/>
        <v>1</v>
      </c>
    </row>
    <row r="1741" spans="1:11" x14ac:dyDescent="0.2">
      <c r="A1741" s="9" t="s">
        <v>1415</v>
      </c>
      <c r="B1741" s="9">
        <v>2019</v>
      </c>
      <c r="C1741" s="9" t="s">
        <v>1430</v>
      </c>
      <c r="D1741" s="9" t="s">
        <v>1430</v>
      </c>
      <c r="E1741" s="10">
        <v>1</v>
      </c>
      <c r="F1741" s="10"/>
      <c r="G1741" s="10"/>
      <c r="H1741" s="10"/>
      <c r="I1741" s="9" t="s">
        <v>1429</v>
      </c>
      <c r="J1741" s="9" t="s">
        <v>1428</v>
      </c>
      <c r="K1741" s="6">
        <f t="shared" si="61"/>
        <v>1</v>
      </c>
    </row>
    <row r="1742" spans="1:11" x14ac:dyDescent="0.2">
      <c r="A1742" s="9" t="s">
        <v>1415</v>
      </c>
      <c r="B1742" s="9">
        <v>2019</v>
      </c>
      <c r="C1742" s="9" t="s">
        <v>1430</v>
      </c>
      <c r="D1742" s="9" t="s">
        <v>1430</v>
      </c>
      <c r="E1742" s="10">
        <v>1</v>
      </c>
      <c r="F1742" s="10"/>
      <c r="G1742" s="10"/>
      <c r="H1742" s="10"/>
      <c r="I1742" s="9" t="s">
        <v>1429</v>
      </c>
      <c r="J1742" s="9" t="s">
        <v>1428</v>
      </c>
      <c r="K1742" s="6">
        <f t="shared" si="61"/>
        <v>1</v>
      </c>
    </row>
    <row r="1743" spans="1:11" x14ac:dyDescent="0.2">
      <c r="A1743" t="s">
        <v>1415</v>
      </c>
      <c r="B1743">
        <v>2015</v>
      </c>
      <c r="C1743" t="s">
        <v>1432</v>
      </c>
      <c r="D1743" t="s">
        <v>1433</v>
      </c>
      <c r="E1743" s="5">
        <v>1</v>
      </c>
      <c r="I1743" t="s">
        <v>1434</v>
      </c>
      <c r="J1743" t="s">
        <v>1428</v>
      </c>
      <c r="K1743" s="6">
        <f t="shared" si="61"/>
        <v>1</v>
      </c>
    </row>
    <row r="1744" spans="1:11" x14ac:dyDescent="0.2">
      <c r="A1744" s="8" t="s">
        <v>1415</v>
      </c>
      <c r="B1744">
        <v>2018</v>
      </c>
      <c r="C1744" s="8" t="s">
        <v>1415</v>
      </c>
      <c r="D1744" t="s">
        <v>1433</v>
      </c>
      <c r="E1744" s="5">
        <v>1</v>
      </c>
      <c r="I1744" t="s">
        <v>1435</v>
      </c>
      <c r="J1744" t="s">
        <v>1428</v>
      </c>
      <c r="K1744" s="6">
        <f t="shared" si="61"/>
        <v>1</v>
      </c>
    </row>
    <row r="1745" spans="1:11" x14ac:dyDescent="0.2">
      <c r="A1745" t="s">
        <v>1415</v>
      </c>
      <c r="B1745">
        <v>2012</v>
      </c>
      <c r="C1745" t="s">
        <v>1436</v>
      </c>
      <c r="D1745" t="s">
        <v>1436</v>
      </c>
      <c r="E1745" s="5">
        <v>1</v>
      </c>
      <c r="I1745" t="s">
        <v>1427</v>
      </c>
      <c r="J1745" t="s">
        <v>1428</v>
      </c>
      <c r="K1745" s="6">
        <f t="shared" si="61"/>
        <v>1</v>
      </c>
    </row>
    <row r="1746" spans="1:11" x14ac:dyDescent="0.2">
      <c r="A1746" t="s">
        <v>1415</v>
      </c>
      <c r="B1746">
        <v>2013</v>
      </c>
      <c r="C1746" t="s">
        <v>1436</v>
      </c>
      <c r="D1746" t="s">
        <v>1436</v>
      </c>
      <c r="E1746" s="5">
        <v>1</v>
      </c>
      <c r="I1746" t="s">
        <v>1427</v>
      </c>
      <c r="J1746" t="s">
        <v>1428</v>
      </c>
      <c r="K1746" s="6">
        <f t="shared" si="61"/>
        <v>1</v>
      </c>
    </row>
    <row r="1747" spans="1:11" x14ac:dyDescent="0.2">
      <c r="A1747" t="s">
        <v>1415</v>
      </c>
      <c r="B1747">
        <v>2014</v>
      </c>
      <c r="C1747" t="s">
        <v>1436</v>
      </c>
      <c r="D1747" t="s">
        <v>1436</v>
      </c>
      <c r="E1747" s="5">
        <v>1</v>
      </c>
      <c r="I1747" t="s">
        <v>1427</v>
      </c>
      <c r="J1747" t="s">
        <v>1428</v>
      </c>
      <c r="K1747" s="6">
        <f t="shared" si="61"/>
        <v>1</v>
      </c>
    </row>
    <row r="1748" spans="1:11" x14ac:dyDescent="0.2">
      <c r="A1748" t="s">
        <v>1415</v>
      </c>
      <c r="B1748">
        <v>2016</v>
      </c>
      <c r="C1748" t="s">
        <v>1436</v>
      </c>
      <c r="D1748" t="s">
        <v>1436</v>
      </c>
      <c r="E1748" s="5">
        <v>1</v>
      </c>
      <c r="I1748" t="s">
        <v>1427</v>
      </c>
      <c r="J1748" t="s">
        <v>1428</v>
      </c>
      <c r="K1748" s="6">
        <f t="shared" si="61"/>
        <v>1</v>
      </c>
    </row>
    <row r="1749" spans="1:11" x14ac:dyDescent="0.2">
      <c r="A1749" s="8" t="s">
        <v>1415</v>
      </c>
      <c r="B1749">
        <v>2017</v>
      </c>
      <c r="C1749" s="8" t="s">
        <v>1415</v>
      </c>
      <c r="D1749" t="s">
        <v>1437</v>
      </c>
      <c r="E1749" s="5">
        <v>1</v>
      </c>
      <c r="I1749" t="s">
        <v>1435</v>
      </c>
      <c r="J1749" t="s">
        <v>1428</v>
      </c>
      <c r="K1749" s="6">
        <f t="shared" si="61"/>
        <v>1</v>
      </c>
    </row>
    <row r="1750" spans="1:11" x14ac:dyDescent="0.2">
      <c r="A1750" s="8" t="s">
        <v>1415</v>
      </c>
      <c r="B1750">
        <v>2018</v>
      </c>
      <c r="C1750" s="8" t="s">
        <v>1415</v>
      </c>
      <c r="D1750" t="s">
        <v>1437</v>
      </c>
      <c r="E1750" s="5">
        <v>1</v>
      </c>
      <c r="I1750" t="s">
        <v>1435</v>
      </c>
      <c r="J1750" t="s">
        <v>1428</v>
      </c>
      <c r="K1750" s="6">
        <f t="shared" si="61"/>
        <v>1</v>
      </c>
    </row>
    <row r="1751" spans="1:11" x14ac:dyDescent="0.2">
      <c r="A1751" t="s">
        <v>1415</v>
      </c>
      <c r="B1751">
        <v>2018</v>
      </c>
      <c r="C1751" t="s">
        <v>1437</v>
      </c>
      <c r="D1751" t="s">
        <v>1437</v>
      </c>
      <c r="E1751" s="5">
        <v>1</v>
      </c>
      <c r="I1751" t="s">
        <v>1435</v>
      </c>
      <c r="K1751" s="6">
        <f t="shared" si="61"/>
        <v>1</v>
      </c>
    </row>
    <row r="1752" spans="1:11" x14ac:dyDescent="0.2">
      <c r="A1752" t="s">
        <v>1415</v>
      </c>
      <c r="B1752">
        <v>2015</v>
      </c>
      <c r="C1752" t="s">
        <v>1438</v>
      </c>
      <c r="D1752" t="s">
        <v>1438</v>
      </c>
      <c r="E1752" s="5">
        <v>1</v>
      </c>
      <c r="I1752" t="s">
        <v>1434</v>
      </c>
      <c r="J1752" t="s">
        <v>1428</v>
      </c>
      <c r="K1752" s="6">
        <f t="shared" si="61"/>
        <v>1</v>
      </c>
    </row>
    <row r="1753" spans="1:11" x14ac:dyDescent="0.2">
      <c r="A1753" s="8" t="s">
        <v>1415</v>
      </c>
      <c r="B1753">
        <v>2018</v>
      </c>
      <c r="C1753" s="8" t="s">
        <v>1415</v>
      </c>
      <c r="D1753" t="s">
        <v>1438</v>
      </c>
      <c r="E1753" s="5">
        <v>1</v>
      </c>
      <c r="I1753" t="s">
        <v>1435</v>
      </c>
      <c r="J1753" t="s">
        <v>1428</v>
      </c>
      <c r="K1753" s="6">
        <f t="shared" si="61"/>
        <v>1</v>
      </c>
    </row>
    <row r="1754" spans="1:11" x14ac:dyDescent="0.2">
      <c r="A1754" t="s">
        <v>1415</v>
      </c>
      <c r="B1754">
        <v>2018</v>
      </c>
      <c r="C1754" s="8" t="s">
        <v>1415</v>
      </c>
      <c r="D1754" t="s">
        <v>1438</v>
      </c>
      <c r="E1754" s="5">
        <v>1</v>
      </c>
      <c r="I1754" t="s">
        <v>1427</v>
      </c>
      <c r="J1754" t="s">
        <v>1428</v>
      </c>
      <c r="K1754" s="6">
        <f t="shared" si="61"/>
        <v>1</v>
      </c>
    </row>
    <row r="1755" spans="1:11" x14ac:dyDescent="0.2">
      <c r="A1755" t="s">
        <v>1415</v>
      </c>
      <c r="B1755">
        <v>2018</v>
      </c>
      <c r="C1755" s="8" t="s">
        <v>1415</v>
      </c>
      <c r="D1755" t="s">
        <v>1438</v>
      </c>
      <c r="E1755" s="5">
        <v>1</v>
      </c>
      <c r="I1755" t="s">
        <v>1427</v>
      </c>
      <c r="J1755" t="s">
        <v>1428</v>
      </c>
      <c r="K1755" s="6">
        <f t="shared" si="61"/>
        <v>1</v>
      </c>
    </row>
    <row r="1756" spans="1:11" x14ac:dyDescent="0.2">
      <c r="A1756" t="s">
        <v>1415</v>
      </c>
      <c r="B1756">
        <v>2013</v>
      </c>
      <c r="C1756" t="s">
        <v>1415</v>
      </c>
      <c r="D1756" t="s">
        <v>1439</v>
      </c>
      <c r="F1756" s="5">
        <v>1</v>
      </c>
      <c r="I1756" t="s">
        <v>1417</v>
      </c>
      <c r="J1756" t="s">
        <v>1418</v>
      </c>
      <c r="K1756" s="6">
        <f t="shared" si="61"/>
        <v>1</v>
      </c>
    </row>
    <row r="1757" spans="1:11" x14ac:dyDescent="0.2">
      <c r="A1757" t="s">
        <v>1415</v>
      </c>
      <c r="B1757">
        <v>2016</v>
      </c>
      <c r="C1757" t="s">
        <v>1415</v>
      </c>
      <c r="D1757" t="s">
        <v>1439</v>
      </c>
      <c r="F1757" s="5">
        <v>1</v>
      </c>
      <c r="I1757" t="s">
        <v>1417</v>
      </c>
      <c r="J1757" t="s">
        <v>1418</v>
      </c>
      <c r="K1757" s="6">
        <f t="shared" si="61"/>
        <v>1</v>
      </c>
    </row>
    <row r="1758" spans="1:11" x14ac:dyDescent="0.2">
      <c r="A1758" s="8" t="s">
        <v>1415</v>
      </c>
      <c r="B1758">
        <v>2017</v>
      </c>
      <c r="C1758" s="8" t="s">
        <v>1415</v>
      </c>
      <c r="D1758" t="s">
        <v>1440</v>
      </c>
      <c r="F1758" s="5">
        <v>1</v>
      </c>
      <c r="I1758" t="s">
        <v>1423</v>
      </c>
      <c r="K1758" s="6">
        <f t="shared" si="61"/>
        <v>1</v>
      </c>
    </row>
    <row r="1759" spans="1:11" x14ac:dyDescent="0.2">
      <c r="A1759" t="s">
        <v>1415</v>
      </c>
      <c r="B1759">
        <v>2013</v>
      </c>
      <c r="C1759" t="s">
        <v>1441</v>
      </c>
      <c r="D1759" t="s">
        <v>1441</v>
      </c>
      <c r="F1759" s="5">
        <v>1</v>
      </c>
      <c r="I1759" t="s">
        <v>1417</v>
      </c>
      <c r="J1759" t="s">
        <v>1418</v>
      </c>
      <c r="K1759" s="6">
        <f t="shared" si="61"/>
        <v>1</v>
      </c>
    </row>
    <row r="1760" spans="1:11" x14ac:dyDescent="0.2">
      <c r="A1760" t="s">
        <v>1415</v>
      </c>
      <c r="B1760">
        <v>2010</v>
      </c>
      <c r="C1760" t="s">
        <v>1442</v>
      </c>
      <c r="D1760" t="s">
        <v>1443</v>
      </c>
      <c r="F1760" s="5">
        <v>1</v>
      </c>
      <c r="I1760" t="s">
        <v>1444</v>
      </c>
      <c r="J1760" t="s">
        <v>1445</v>
      </c>
      <c r="K1760" s="6">
        <f t="shared" si="61"/>
        <v>1</v>
      </c>
    </row>
    <row r="1761" spans="1:11" x14ac:dyDescent="0.2">
      <c r="A1761" t="s">
        <v>1415</v>
      </c>
      <c r="B1761">
        <v>2011</v>
      </c>
      <c r="C1761" t="s">
        <v>1442</v>
      </c>
      <c r="D1761" t="s">
        <v>1443</v>
      </c>
      <c r="F1761" s="5">
        <v>1</v>
      </c>
      <c r="I1761" t="s">
        <v>1444</v>
      </c>
      <c r="J1761" t="s">
        <v>1445</v>
      </c>
      <c r="K1761" s="6">
        <f t="shared" si="61"/>
        <v>1</v>
      </c>
    </row>
    <row r="1762" spans="1:11" x14ac:dyDescent="0.2">
      <c r="A1762" t="s">
        <v>1415</v>
      </c>
      <c r="B1762">
        <v>2012</v>
      </c>
      <c r="C1762" t="s">
        <v>1442</v>
      </c>
      <c r="D1762" t="s">
        <v>1443</v>
      </c>
      <c r="F1762" s="5">
        <v>1</v>
      </c>
      <c r="I1762" t="s">
        <v>1444</v>
      </c>
      <c r="J1762" t="s">
        <v>1445</v>
      </c>
      <c r="K1762" s="6">
        <f t="shared" si="61"/>
        <v>1</v>
      </c>
    </row>
    <row r="1763" spans="1:11" x14ac:dyDescent="0.2">
      <c r="A1763" t="s">
        <v>1415</v>
      </c>
      <c r="B1763">
        <v>2013</v>
      </c>
      <c r="C1763" t="s">
        <v>1442</v>
      </c>
      <c r="D1763" t="s">
        <v>1443</v>
      </c>
      <c r="F1763" s="5">
        <v>1</v>
      </c>
      <c r="I1763" t="s">
        <v>1444</v>
      </c>
      <c r="J1763" t="s">
        <v>1445</v>
      </c>
      <c r="K1763" s="6">
        <f t="shared" si="61"/>
        <v>1</v>
      </c>
    </row>
    <row r="1764" spans="1:11" x14ac:dyDescent="0.2">
      <c r="A1764" t="s">
        <v>1415</v>
      </c>
      <c r="B1764">
        <v>2014</v>
      </c>
      <c r="C1764" t="s">
        <v>1442</v>
      </c>
      <c r="D1764" t="s">
        <v>1443</v>
      </c>
      <c r="F1764" s="5">
        <v>1</v>
      </c>
      <c r="I1764" t="s">
        <v>1444</v>
      </c>
      <c r="J1764" t="s">
        <v>1445</v>
      </c>
      <c r="K1764" s="6">
        <f t="shared" si="61"/>
        <v>1</v>
      </c>
    </row>
    <row r="1765" spans="1:11" x14ac:dyDescent="0.2">
      <c r="A1765" t="s">
        <v>1415</v>
      </c>
      <c r="B1765">
        <v>2015</v>
      </c>
      <c r="C1765" t="s">
        <v>1442</v>
      </c>
      <c r="D1765" t="s">
        <v>1443</v>
      </c>
      <c r="F1765" s="5">
        <v>1</v>
      </c>
      <c r="I1765" t="s">
        <v>1444</v>
      </c>
      <c r="J1765" t="s">
        <v>1445</v>
      </c>
      <c r="K1765" s="6">
        <f t="shared" si="61"/>
        <v>1</v>
      </c>
    </row>
    <row r="1766" spans="1:11" x14ac:dyDescent="0.2">
      <c r="A1766" t="s">
        <v>1415</v>
      </c>
      <c r="B1766">
        <v>2016</v>
      </c>
      <c r="C1766" t="s">
        <v>1442</v>
      </c>
      <c r="D1766" t="s">
        <v>1443</v>
      </c>
      <c r="F1766" s="5">
        <v>1</v>
      </c>
      <c r="I1766" t="s">
        <v>1444</v>
      </c>
      <c r="J1766" t="s">
        <v>1445</v>
      </c>
      <c r="K1766" s="6">
        <f t="shared" si="61"/>
        <v>1</v>
      </c>
    </row>
    <row r="1767" spans="1:11" x14ac:dyDescent="0.2">
      <c r="A1767" s="8" t="s">
        <v>1415</v>
      </c>
      <c r="B1767">
        <v>2017</v>
      </c>
      <c r="C1767" s="8" t="s">
        <v>1415</v>
      </c>
      <c r="D1767" t="s">
        <v>1446</v>
      </c>
      <c r="F1767" s="5">
        <v>1</v>
      </c>
      <c r="I1767" t="s">
        <v>1444</v>
      </c>
      <c r="J1767" t="s">
        <v>1445</v>
      </c>
      <c r="K1767" s="6">
        <f t="shared" si="61"/>
        <v>1</v>
      </c>
    </row>
    <row r="1768" spans="1:11" x14ac:dyDescent="0.2">
      <c r="A1768" s="8" t="s">
        <v>1415</v>
      </c>
      <c r="B1768">
        <v>2018</v>
      </c>
      <c r="C1768" s="8" t="s">
        <v>1415</v>
      </c>
      <c r="D1768" t="s">
        <v>1446</v>
      </c>
      <c r="F1768" s="5">
        <v>1</v>
      </c>
      <c r="I1768" t="s">
        <v>1444</v>
      </c>
      <c r="J1768" t="s">
        <v>1445</v>
      </c>
      <c r="K1768" s="6">
        <f t="shared" si="61"/>
        <v>1</v>
      </c>
    </row>
    <row r="1769" spans="1:11" x14ac:dyDescent="0.2">
      <c r="A1769" t="s">
        <v>1415</v>
      </c>
      <c r="B1769">
        <v>2018</v>
      </c>
      <c r="C1769" s="8" t="s">
        <v>1415</v>
      </c>
      <c r="D1769" t="s">
        <v>1446</v>
      </c>
      <c r="E1769" s="25"/>
      <c r="F1769" s="5">
        <v>1</v>
      </c>
      <c r="I1769" t="s">
        <v>1444</v>
      </c>
      <c r="J1769" t="s">
        <v>1445</v>
      </c>
      <c r="K1769" s="6">
        <f t="shared" si="61"/>
        <v>1</v>
      </c>
    </row>
    <row r="1770" spans="1:11" x14ac:dyDescent="0.2">
      <c r="A1770" t="s">
        <v>1415</v>
      </c>
      <c r="B1770">
        <v>2018</v>
      </c>
      <c r="C1770" t="s">
        <v>1432</v>
      </c>
      <c r="D1770" t="s">
        <v>1446</v>
      </c>
      <c r="E1770" s="25"/>
      <c r="F1770" s="5">
        <v>1</v>
      </c>
      <c r="I1770" t="s">
        <v>1444</v>
      </c>
      <c r="J1770" t="s">
        <v>1445</v>
      </c>
      <c r="K1770" s="6">
        <f t="shared" si="61"/>
        <v>1</v>
      </c>
    </row>
    <row r="1771" spans="1:11" x14ac:dyDescent="0.2">
      <c r="A1771" t="s">
        <v>1415</v>
      </c>
      <c r="B1771">
        <v>2018</v>
      </c>
      <c r="C1771" s="8" t="s">
        <v>1415</v>
      </c>
      <c r="D1771" t="s">
        <v>1446</v>
      </c>
      <c r="E1771" s="25"/>
      <c r="F1771" s="5">
        <v>1</v>
      </c>
      <c r="I1771" t="s">
        <v>1444</v>
      </c>
      <c r="J1771" t="s">
        <v>1445</v>
      </c>
      <c r="K1771" s="6">
        <f t="shared" si="61"/>
        <v>1</v>
      </c>
    </row>
    <row r="1772" spans="1:11" x14ac:dyDescent="0.2">
      <c r="A1772" t="s">
        <v>1415</v>
      </c>
      <c r="B1772">
        <v>2018</v>
      </c>
      <c r="C1772" t="s">
        <v>1432</v>
      </c>
      <c r="D1772" t="s">
        <v>1446</v>
      </c>
      <c r="E1772" s="25"/>
      <c r="F1772" s="5">
        <v>1</v>
      </c>
      <c r="I1772" t="s">
        <v>1444</v>
      </c>
      <c r="J1772" t="s">
        <v>1445</v>
      </c>
      <c r="K1772" s="6">
        <f t="shared" si="61"/>
        <v>1</v>
      </c>
    </row>
    <row r="1773" spans="1:11" x14ac:dyDescent="0.2">
      <c r="A1773" s="9" t="s">
        <v>1415</v>
      </c>
      <c r="B1773" s="9">
        <v>2019</v>
      </c>
      <c r="C1773" s="9" t="s">
        <v>1447</v>
      </c>
      <c r="D1773" s="9" t="s">
        <v>1447</v>
      </c>
      <c r="E1773" s="10"/>
      <c r="F1773" s="10">
        <v>1</v>
      </c>
      <c r="G1773" s="10"/>
      <c r="H1773" s="10"/>
      <c r="I1773" s="9" t="s">
        <v>1444</v>
      </c>
      <c r="J1773" s="9" t="s">
        <v>1445</v>
      </c>
      <c r="K1773" s="6">
        <f t="shared" si="61"/>
        <v>1</v>
      </c>
    </row>
    <row r="1774" spans="1:11" x14ac:dyDescent="0.2">
      <c r="A1774" s="9" t="s">
        <v>1415</v>
      </c>
      <c r="B1774" s="9">
        <v>2019</v>
      </c>
      <c r="C1774" s="9" t="s">
        <v>1447</v>
      </c>
      <c r="D1774" s="9" t="s">
        <v>1447</v>
      </c>
      <c r="E1774" s="10"/>
      <c r="F1774" s="10">
        <v>1</v>
      </c>
      <c r="G1774" s="10"/>
      <c r="H1774" s="10"/>
      <c r="I1774" s="9" t="s">
        <v>1444</v>
      </c>
      <c r="J1774" s="9" t="s">
        <v>1445</v>
      </c>
      <c r="K1774" s="6">
        <f t="shared" si="61"/>
        <v>1</v>
      </c>
    </row>
    <row r="1775" spans="1:11" x14ac:dyDescent="0.2">
      <c r="A1775" t="s">
        <v>1415</v>
      </c>
      <c r="B1775">
        <v>2015</v>
      </c>
      <c r="C1775" t="s">
        <v>1442</v>
      </c>
      <c r="D1775" t="s">
        <v>1442</v>
      </c>
      <c r="F1775" s="5">
        <v>1</v>
      </c>
      <c r="I1775" t="s">
        <v>1444</v>
      </c>
      <c r="J1775" t="s">
        <v>1445</v>
      </c>
      <c r="K1775" s="6">
        <f t="shared" si="61"/>
        <v>1</v>
      </c>
    </row>
    <row r="1776" spans="1:11" x14ac:dyDescent="0.2">
      <c r="A1776" t="s">
        <v>1415</v>
      </c>
      <c r="B1776">
        <v>2016</v>
      </c>
      <c r="C1776" t="s">
        <v>1442</v>
      </c>
      <c r="D1776" t="s">
        <v>1442</v>
      </c>
      <c r="F1776" s="5">
        <v>1</v>
      </c>
      <c r="I1776" t="s">
        <v>1444</v>
      </c>
      <c r="J1776" t="s">
        <v>1445</v>
      </c>
      <c r="K1776" s="6">
        <f t="shared" si="61"/>
        <v>1</v>
      </c>
    </row>
    <row r="1777" spans="1:11" x14ac:dyDescent="0.2">
      <c r="A1777" t="s">
        <v>1415</v>
      </c>
      <c r="B1777">
        <v>2017</v>
      </c>
      <c r="C1777" t="s">
        <v>1442</v>
      </c>
      <c r="D1777" t="s">
        <v>1442</v>
      </c>
      <c r="F1777" s="5">
        <v>1</v>
      </c>
      <c r="I1777" t="s">
        <v>1444</v>
      </c>
      <c r="J1777" t="s">
        <v>1445</v>
      </c>
      <c r="K1777" s="6">
        <f t="shared" si="61"/>
        <v>1</v>
      </c>
    </row>
    <row r="1778" spans="1:11" x14ac:dyDescent="0.2">
      <c r="A1778" s="8" t="s">
        <v>1415</v>
      </c>
      <c r="B1778">
        <v>2018</v>
      </c>
      <c r="C1778" s="8" t="s">
        <v>1415</v>
      </c>
      <c r="D1778" t="s">
        <v>1442</v>
      </c>
      <c r="F1778" s="5">
        <v>1</v>
      </c>
      <c r="I1778" t="s">
        <v>1444</v>
      </c>
      <c r="J1778" t="s">
        <v>1445</v>
      </c>
      <c r="K1778" s="6">
        <f t="shared" si="61"/>
        <v>1</v>
      </c>
    </row>
    <row r="1779" spans="1:11" x14ac:dyDescent="0.2">
      <c r="A1779" t="s">
        <v>1415</v>
      </c>
      <c r="B1779">
        <v>2018</v>
      </c>
      <c r="C1779" s="8" t="s">
        <v>1415</v>
      </c>
      <c r="D1779" t="s">
        <v>1442</v>
      </c>
      <c r="E1779" s="25"/>
      <c r="F1779" s="5">
        <v>1</v>
      </c>
      <c r="I1779" t="s">
        <v>1444</v>
      </c>
      <c r="J1779" t="s">
        <v>1445</v>
      </c>
      <c r="K1779" s="6">
        <f t="shared" si="61"/>
        <v>1</v>
      </c>
    </row>
    <row r="1780" spans="1:11" x14ac:dyDescent="0.2">
      <c r="A1780" t="s">
        <v>1415</v>
      </c>
      <c r="B1780">
        <v>2018</v>
      </c>
      <c r="C1780" s="8" t="s">
        <v>1415</v>
      </c>
      <c r="D1780" t="s">
        <v>1442</v>
      </c>
      <c r="E1780" s="25"/>
      <c r="F1780" s="5">
        <v>1</v>
      </c>
      <c r="I1780" t="s">
        <v>1444</v>
      </c>
      <c r="J1780" t="s">
        <v>1445</v>
      </c>
      <c r="K1780" s="6">
        <f t="shared" si="61"/>
        <v>1</v>
      </c>
    </row>
    <row r="1781" spans="1:11" x14ac:dyDescent="0.2">
      <c r="A1781" t="s">
        <v>1415</v>
      </c>
      <c r="B1781">
        <v>2018</v>
      </c>
      <c r="C1781" t="s">
        <v>1442</v>
      </c>
      <c r="D1781" t="s">
        <v>1442</v>
      </c>
      <c r="E1781" s="25"/>
      <c r="F1781" s="5">
        <v>1</v>
      </c>
      <c r="I1781" t="s">
        <v>1444</v>
      </c>
      <c r="J1781" t="s">
        <v>1445</v>
      </c>
      <c r="K1781" s="6">
        <f t="shared" si="61"/>
        <v>1</v>
      </c>
    </row>
    <row r="1782" spans="1:11" x14ac:dyDescent="0.2">
      <c r="A1782" s="9" t="s">
        <v>1415</v>
      </c>
      <c r="B1782" s="9">
        <v>2019</v>
      </c>
      <c r="C1782" s="9" t="s">
        <v>1442</v>
      </c>
      <c r="D1782" s="9" t="s">
        <v>1442</v>
      </c>
      <c r="E1782" s="10"/>
      <c r="F1782" s="10">
        <v>1</v>
      </c>
      <c r="G1782" s="10"/>
      <c r="H1782" s="10"/>
      <c r="I1782" s="9" t="s">
        <v>1444</v>
      </c>
      <c r="J1782" s="9" t="s">
        <v>1445</v>
      </c>
      <c r="K1782" s="6">
        <f t="shared" si="61"/>
        <v>1</v>
      </c>
    </row>
    <row r="1783" spans="1:11" x14ac:dyDescent="0.2">
      <c r="A1783" s="9" t="s">
        <v>1415</v>
      </c>
      <c r="B1783" s="9">
        <v>2019</v>
      </c>
      <c r="C1783" s="9" t="s">
        <v>1442</v>
      </c>
      <c r="D1783" s="9" t="s">
        <v>1442</v>
      </c>
      <c r="E1783" s="10"/>
      <c r="F1783" s="10">
        <v>1</v>
      </c>
      <c r="G1783" s="10"/>
      <c r="H1783" s="10"/>
      <c r="I1783" s="9" t="s">
        <v>1444</v>
      </c>
      <c r="J1783" s="9" t="s">
        <v>1445</v>
      </c>
      <c r="K1783" s="6">
        <f t="shared" si="61"/>
        <v>1</v>
      </c>
    </row>
    <row r="1784" spans="1:11" x14ac:dyDescent="0.2">
      <c r="A1784" t="s">
        <v>1415</v>
      </c>
      <c r="B1784">
        <v>2010</v>
      </c>
      <c r="C1784" t="s">
        <v>1448</v>
      </c>
      <c r="D1784" t="s">
        <v>1448</v>
      </c>
      <c r="F1784" s="5">
        <v>1</v>
      </c>
      <c r="I1784" t="s">
        <v>1444</v>
      </c>
      <c r="J1784" t="s">
        <v>1445</v>
      </c>
      <c r="K1784" s="6">
        <f t="shared" si="61"/>
        <v>1</v>
      </c>
    </row>
    <row r="1785" spans="1:11" x14ac:dyDescent="0.2">
      <c r="A1785" t="s">
        <v>1415</v>
      </c>
      <c r="B1785">
        <v>2011</v>
      </c>
      <c r="C1785" t="s">
        <v>1448</v>
      </c>
      <c r="D1785" t="s">
        <v>1448</v>
      </c>
      <c r="F1785" s="5">
        <v>1</v>
      </c>
      <c r="I1785" t="s">
        <v>1444</v>
      </c>
      <c r="J1785" t="s">
        <v>1445</v>
      </c>
      <c r="K1785" s="6">
        <f t="shared" si="61"/>
        <v>1</v>
      </c>
    </row>
    <row r="1786" spans="1:11" x14ac:dyDescent="0.2">
      <c r="A1786" t="s">
        <v>1415</v>
      </c>
      <c r="B1786">
        <v>2012</v>
      </c>
      <c r="C1786" t="s">
        <v>1448</v>
      </c>
      <c r="D1786" t="s">
        <v>1448</v>
      </c>
      <c r="F1786" s="5">
        <v>1</v>
      </c>
      <c r="I1786" t="s">
        <v>1444</v>
      </c>
      <c r="J1786" t="s">
        <v>1445</v>
      </c>
      <c r="K1786" s="6">
        <f t="shared" si="61"/>
        <v>1</v>
      </c>
    </row>
    <row r="1787" spans="1:11" x14ac:dyDescent="0.2">
      <c r="A1787" t="s">
        <v>1415</v>
      </c>
      <c r="B1787">
        <v>2013</v>
      </c>
      <c r="C1787" t="s">
        <v>1448</v>
      </c>
      <c r="D1787" t="s">
        <v>1448</v>
      </c>
      <c r="F1787" s="5">
        <v>1</v>
      </c>
      <c r="I1787" t="s">
        <v>1444</v>
      </c>
      <c r="J1787" t="s">
        <v>1445</v>
      </c>
      <c r="K1787" s="6">
        <f t="shared" si="61"/>
        <v>1</v>
      </c>
    </row>
    <row r="1788" spans="1:11" x14ac:dyDescent="0.2">
      <c r="A1788" t="s">
        <v>1415</v>
      </c>
      <c r="B1788">
        <v>2014</v>
      </c>
      <c r="C1788" t="s">
        <v>1448</v>
      </c>
      <c r="D1788" t="s">
        <v>1448</v>
      </c>
      <c r="F1788" s="5">
        <v>1</v>
      </c>
      <c r="I1788" t="s">
        <v>1444</v>
      </c>
      <c r="J1788" t="s">
        <v>1445</v>
      </c>
      <c r="K1788" s="6">
        <f t="shared" si="61"/>
        <v>1</v>
      </c>
    </row>
    <row r="1789" spans="1:11" x14ac:dyDescent="0.2">
      <c r="A1789" t="s">
        <v>1415</v>
      </c>
      <c r="B1789">
        <v>2015</v>
      </c>
      <c r="C1789" t="s">
        <v>1448</v>
      </c>
      <c r="D1789" t="s">
        <v>1448</v>
      </c>
      <c r="F1789" s="5">
        <v>1</v>
      </c>
      <c r="I1789" t="s">
        <v>1444</v>
      </c>
      <c r="J1789" t="s">
        <v>1445</v>
      </c>
      <c r="K1789" s="6">
        <f t="shared" si="61"/>
        <v>1</v>
      </c>
    </row>
    <row r="1790" spans="1:11" x14ac:dyDescent="0.2">
      <c r="A1790" t="s">
        <v>1415</v>
      </c>
      <c r="B1790">
        <v>2016</v>
      </c>
      <c r="C1790" t="s">
        <v>1448</v>
      </c>
      <c r="D1790" t="s">
        <v>1448</v>
      </c>
      <c r="F1790" s="5">
        <v>1</v>
      </c>
      <c r="I1790" t="s">
        <v>1444</v>
      </c>
      <c r="J1790" t="s">
        <v>1445</v>
      </c>
      <c r="K1790" s="6">
        <f t="shared" si="61"/>
        <v>1</v>
      </c>
    </row>
    <row r="1791" spans="1:11" x14ac:dyDescent="0.2">
      <c r="A1791" s="8" t="s">
        <v>1415</v>
      </c>
      <c r="B1791">
        <v>2017</v>
      </c>
      <c r="C1791" s="8" t="s">
        <v>1415</v>
      </c>
      <c r="D1791" t="s">
        <v>1448</v>
      </c>
      <c r="F1791" s="5">
        <v>1</v>
      </c>
      <c r="I1791" t="s">
        <v>1444</v>
      </c>
      <c r="J1791" t="s">
        <v>1445</v>
      </c>
      <c r="K1791" s="6">
        <f t="shared" si="61"/>
        <v>1</v>
      </c>
    </row>
    <row r="1792" spans="1:11" x14ac:dyDescent="0.2">
      <c r="A1792" t="s">
        <v>1415</v>
      </c>
      <c r="B1792">
        <v>2018</v>
      </c>
      <c r="C1792" t="s">
        <v>1415</v>
      </c>
      <c r="D1792" t="s">
        <v>1448</v>
      </c>
      <c r="E1792" s="25"/>
      <c r="F1792" s="5">
        <v>1</v>
      </c>
      <c r="I1792" t="s">
        <v>1444</v>
      </c>
      <c r="J1792" t="s">
        <v>1445</v>
      </c>
      <c r="K1792" s="6">
        <f t="shared" si="61"/>
        <v>1</v>
      </c>
    </row>
    <row r="1793" spans="1:11" x14ac:dyDescent="0.2">
      <c r="A1793" t="s">
        <v>1415</v>
      </c>
      <c r="B1793">
        <v>2018</v>
      </c>
      <c r="C1793" t="s">
        <v>1415</v>
      </c>
      <c r="D1793" t="s">
        <v>1448</v>
      </c>
      <c r="E1793" s="25"/>
      <c r="F1793" s="5">
        <v>1</v>
      </c>
      <c r="I1793" t="s">
        <v>1444</v>
      </c>
      <c r="J1793" t="s">
        <v>1445</v>
      </c>
      <c r="K1793" s="6">
        <f t="shared" si="61"/>
        <v>1</v>
      </c>
    </row>
    <row r="1794" spans="1:11" x14ac:dyDescent="0.2">
      <c r="A1794" t="s">
        <v>1415</v>
      </c>
      <c r="B1794" t="s">
        <v>125</v>
      </c>
      <c r="C1794" t="s">
        <v>1448</v>
      </c>
      <c r="D1794" t="s">
        <v>1448</v>
      </c>
      <c r="F1794" s="5">
        <v>1</v>
      </c>
      <c r="I1794" t="s">
        <v>1444</v>
      </c>
      <c r="J1794" t="s">
        <v>1445</v>
      </c>
      <c r="K1794" s="6">
        <f t="shared" ref="K1794:K1857" si="62">SUM(E1794:H1794)</f>
        <v>1</v>
      </c>
    </row>
    <row r="1795" spans="1:11" x14ac:dyDescent="0.2">
      <c r="A1795" t="s">
        <v>1415</v>
      </c>
      <c r="B1795">
        <v>2016</v>
      </c>
      <c r="C1795" t="s">
        <v>1432</v>
      </c>
      <c r="D1795" t="s">
        <v>1449</v>
      </c>
      <c r="E1795" s="5">
        <v>1</v>
      </c>
      <c r="I1795" t="s">
        <v>1450</v>
      </c>
      <c r="J1795" t="s">
        <v>1451</v>
      </c>
      <c r="K1795" s="6">
        <f t="shared" si="62"/>
        <v>1</v>
      </c>
    </row>
    <row r="1796" spans="1:11" x14ac:dyDescent="0.2">
      <c r="A1796" t="s">
        <v>1415</v>
      </c>
      <c r="B1796">
        <v>2016</v>
      </c>
      <c r="C1796" t="s">
        <v>1419</v>
      </c>
      <c r="D1796" t="s">
        <v>1452</v>
      </c>
      <c r="F1796" s="5">
        <v>1</v>
      </c>
      <c r="I1796" t="s">
        <v>1417</v>
      </c>
      <c r="J1796" t="s">
        <v>1418</v>
      </c>
      <c r="K1796" s="6">
        <f t="shared" si="62"/>
        <v>1</v>
      </c>
    </row>
    <row r="1797" spans="1:11" x14ac:dyDescent="0.2">
      <c r="A1797" t="s">
        <v>1415</v>
      </c>
      <c r="B1797">
        <v>2018</v>
      </c>
      <c r="C1797" t="s">
        <v>1415</v>
      </c>
      <c r="D1797" t="s">
        <v>1453</v>
      </c>
      <c r="E1797" s="25"/>
      <c r="F1797" s="5">
        <v>1</v>
      </c>
      <c r="I1797" t="s">
        <v>1454</v>
      </c>
      <c r="J1797" t="s">
        <v>1455</v>
      </c>
      <c r="K1797" s="6">
        <f t="shared" si="62"/>
        <v>1</v>
      </c>
    </row>
    <row r="1798" spans="1:11" x14ac:dyDescent="0.2">
      <c r="A1798" t="s">
        <v>1415</v>
      </c>
      <c r="B1798">
        <v>2018</v>
      </c>
      <c r="C1798" t="s">
        <v>1415</v>
      </c>
      <c r="D1798" t="s">
        <v>1453</v>
      </c>
      <c r="E1798" s="25"/>
      <c r="F1798" s="5">
        <v>1</v>
      </c>
      <c r="I1798" t="s">
        <v>1454</v>
      </c>
      <c r="J1798" t="s">
        <v>1455</v>
      </c>
      <c r="K1798" s="6">
        <f t="shared" si="62"/>
        <v>1</v>
      </c>
    </row>
    <row r="1799" spans="1:11" x14ac:dyDescent="0.2">
      <c r="A1799" t="s">
        <v>1415</v>
      </c>
      <c r="B1799">
        <v>2013</v>
      </c>
      <c r="C1799" t="s">
        <v>1415</v>
      </c>
      <c r="D1799" t="s">
        <v>1456</v>
      </c>
      <c r="F1799" s="5">
        <v>1</v>
      </c>
      <c r="I1799" t="s">
        <v>1417</v>
      </c>
      <c r="J1799" t="s">
        <v>1418</v>
      </c>
      <c r="K1799" s="6">
        <f t="shared" si="62"/>
        <v>1</v>
      </c>
    </row>
    <row r="1800" spans="1:11" x14ac:dyDescent="0.2">
      <c r="A1800" s="8" t="s">
        <v>1415</v>
      </c>
      <c r="B1800">
        <v>2017</v>
      </c>
      <c r="C1800" s="8" t="s">
        <v>1415</v>
      </c>
      <c r="D1800" t="s">
        <v>1457</v>
      </c>
      <c r="F1800" s="5">
        <v>1</v>
      </c>
      <c r="I1800" t="s">
        <v>1423</v>
      </c>
      <c r="K1800" s="6">
        <f t="shared" si="62"/>
        <v>1</v>
      </c>
    </row>
    <row r="1801" spans="1:11" x14ac:dyDescent="0.2">
      <c r="A1801" t="s">
        <v>1415</v>
      </c>
      <c r="B1801">
        <v>2015</v>
      </c>
      <c r="C1801" t="s">
        <v>1432</v>
      </c>
      <c r="D1801" t="s">
        <v>1458</v>
      </c>
      <c r="F1801" s="5">
        <v>1</v>
      </c>
      <c r="I1801" t="s">
        <v>1417</v>
      </c>
      <c r="J1801" t="s">
        <v>1418</v>
      </c>
      <c r="K1801" s="6">
        <f t="shared" si="62"/>
        <v>1</v>
      </c>
    </row>
    <row r="1802" spans="1:11" x14ac:dyDescent="0.2">
      <c r="A1802" t="s">
        <v>1415</v>
      </c>
      <c r="B1802">
        <v>2016</v>
      </c>
      <c r="C1802" t="s">
        <v>1432</v>
      </c>
      <c r="D1802" t="s">
        <v>1458</v>
      </c>
      <c r="F1802" s="5">
        <v>1</v>
      </c>
      <c r="I1802" t="s">
        <v>1417</v>
      </c>
      <c r="J1802" t="s">
        <v>1418</v>
      </c>
      <c r="K1802" s="6">
        <f t="shared" si="62"/>
        <v>1</v>
      </c>
    </row>
    <row r="1803" spans="1:11" x14ac:dyDescent="0.2">
      <c r="A1803" t="s">
        <v>1415</v>
      </c>
      <c r="B1803">
        <v>2010</v>
      </c>
      <c r="C1803" t="s">
        <v>1459</v>
      </c>
      <c r="D1803" t="s">
        <v>1460</v>
      </c>
      <c r="F1803" s="5">
        <v>1</v>
      </c>
      <c r="I1803" t="s">
        <v>1461</v>
      </c>
      <c r="J1803" t="s">
        <v>1462</v>
      </c>
      <c r="K1803" s="6">
        <f t="shared" si="62"/>
        <v>1</v>
      </c>
    </row>
    <row r="1804" spans="1:11" x14ac:dyDescent="0.2">
      <c r="A1804" t="s">
        <v>1415</v>
      </c>
      <c r="B1804">
        <v>2011</v>
      </c>
      <c r="C1804" t="s">
        <v>1459</v>
      </c>
      <c r="D1804" t="s">
        <v>1460</v>
      </c>
      <c r="F1804" s="5">
        <v>1</v>
      </c>
      <c r="I1804" t="s">
        <v>1461</v>
      </c>
      <c r="J1804" t="s">
        <v>1462</v>
      </c>
      <c r="K1804" s="6">
        <f t="shared" si="62"/>
        <v>1</v>
      </c>
    </row>
    <row r="1805" spans="1:11" x14ac:dyDescent="0.2">
      <c r="A1805" t="s">
        <v>1415</v>
      </c>
      <c r="B1805">
        <v>2012</v>
      </c>
      <c r="C1805" t="s">
        <v>1459</v>
      </c>
      <c r="D1805" t="s">
        <v>1460</v>
      </c>
      <c r="F1805" s="5">
        <v>1</v>
      </c>
      <c r="I1805" t="s">
        <v>1461</v>
      </c>
      <c r="J1805" t="s">
        <v>1462</v>
      </c>
      <c r="K1805" s="6">
        <f t="shared" si="62"/>
        <v>1</v>
      </c>
    </row>
    <row r="1806" spans="1:11" x14ac:dyDescent="0.2">
      <c r="A1806" t="s">
        <v>1415</v>
      </c>
      <c r="B1806">
        <v>2013</v>
      </c>
      <c r="C1806" t="s">
        <v>1460</v>
      </c>
      <c r="D1806" t="s">
        <v>1460</v>
      </c>
      <c r="F1806" s="5">
        <v>1</v>
      </c>
      <c r="I1806" t="s">
        <v>1461</v>
      </c>
      <c r="J1806" t="s">
        <v>1462</v>
      </c>
      <c r="K1806" s="6">
        <f t="shared" si="62"/>
        <v>1</v>
      </c>
    </row>
    <row r="1807" spans="1:11" x14ac:dyDescent="0.2">
      <c r="A1807" t="s">
        <v>1415</v>
      </c>
      <c r="B1807">
        <v>2013</v>
      </c>
      <c r="C1807" t="s">
        <v>1459</v>
      </c>
      <c r="D1807" t="s">
        <v>1460</v>
      </c>
      <c r="F1807" s="5">
        <v>1</v>
      </c>
      <c r="I1807" t="s">
        <v>1461</v>
      </c>
      <c r="J1807" t="s">
        <v>1462</v>
      </c>
      <c r="K1807" s="6">
        <f t="shared" si="62"/>
        <v>1</v>
      </c>
    </row>
    <row r="1808" spans="1:11" x14ac:dyDescent="0.2">
      <c r="A1808" t="s">
        <v>1415</v>
      </c>
      <c r="B1808">
        <v>2014</v>
      </c>
      <c r="C1808" t="s">
        <v>1459</v>
      </c>
      <c r="D1808" t="s">
        <v>1460</v>
      </c>
      <c r="F1808" s="5">
        <v>1</v>
      </c>
      <c r="I1808" t="s">
        <v>1461</v>
      </c>
      <c r="J1808" t="s">
        <v>1462</v>
      </c>
      <c r="K1808" s="6">
        <f t="shared" si="62"/>
        <v>1</v>
      </c>
    </row>
    <row r="1809" spans="1:11" x14ac:dyDescent="0.2">
      <c r="A1809" t="s">
        <v>1415</v>
      </c>
      <c r="B1809">
        <v>2015</v>
      </c>
      <c r="C1809" t="s">
        <v>1459</v>
      </c>
      <c r="D1809" t="s">
        <v>1460</v>
      </c>
      <c r="F1809" s="5">
        <v>1</v>
      </c>
      <c r="I1809" t="s">
        <v>1461</v>
      </c>
      <c r="J1809" t="s">
        <v>1462</v>
      </c>
      <c r="K1809" s="6">
        <f t="shared" si="62"/>
        <v>1</v>
      </c>
    </row>
    <row r="1810" spans="1:11" x14ac:dyDescent="0.2">
      <c r="A1810" t="s">
        <v>1415</v>
      </c>
      <c r="B1810">
        <v>2016</v>
      </c>
      <c r="C1810" t="s">
        <v>1459</v>
      </c>
      <c r="D1810" t="s">
        <v>1460</v>
      </c>
      <c r="F1810" s="5">
        <v>1</v>
      </c>
      <c r="I1810" t="s">
        <v>1461</v>
      </c>
      <c r="J1810" t="s">
        <v>1462</v>
      </c>
      <c r="K1810" s="6">
        <f t="shared" si="62"/>
        <v>1</v>
      </c>
    </row>
    <row r="1811" spans="1:11" x14ac:dyDescent="0.2">
      <c r="A1811" t="s">
        <v>1415</v>
      </c>
      <c r="B1811" t="s">
        <v>125</v>
      </c>
      <c r="C1811" t="s">
        <v>1460</v>
      </c>
      <c r="D1811" t="s">
        <v>1460</v>
      </c>
      <c r="F1811" s="5">
        <v>1</v>
      </c>
      <c r="I1811" t="s">
        <v>1461</v>
      </c>
      <c r="J1811" t="s">
        <v>1462</v>
      </c>
      <c r="K1811" s="6">
        <f t="shared" si="62"/>
        <v>1</v>
      </c>
    </row>
    <row r="1812" spans="1:11" x14ac:dyDescent="0.2">
      <c r="A1812" s="9" t="s">
        <v>1415</v>
      </c>
      <c r="B1812" s="9">
        <v>2019</v>
      </c>
      <c r="C1812" s="9" t="s">
        <v>1463</v>
      </c>
      <c r="D1812" s="9" t="s">
        <v>1463</v>
      </c>
      <c r="E1812" s="10"/>
      <c r="F1812" s="10">
        <v>1</v>
      </c>
      <c r="G1812" s="10"/>
      <c r="H1812" s="10"/>
      <c r="I1812" s="9" t="s">
        <v>1461</v>
      </c>
      <c r="J1812" s="9" t="s">
        <v>1462</v>
      </c>
      <c r="K1812" s="6">
        <f t="shared" si="62"/>
        <v>1</v>
      </c>
    </row>
    <row r="1813" spans="1:11" x14ac:dyDescent="0.2">
      <c r="A1813" s="9" t="s">
        <v>1415</v>
      </c>
      <c r="B1813" s="9">
        <v>2019</v>
      </c>
      <c r="C1813" s="9" t="s">
        <v>1463</v>
      </c>
      <c r="D1813" s="9" t="s">
        <v>1463</v>
      </c>
      <c r="E1813" s="10"/>
      <c r="F1813" s="10">
        <v>1</v>
      </c>
      <c r="G1813" s="10"/>
      <c r="H1813" s="10"/>
      <c r="I1813" s="9" t="s">
        <v>1461</v>
      </c>
      <c r="J1813" s="9" t="s">
        <v>1462</v>
      </c>
      <c r="K1813" s="6">
        <f t="shared" si="62"/>
        <v>1</v>
      </c>
    </row>
    <row r="1814" spans="1:11" x14ac:dyDescent="0.2">
      <c r="A1814" t="s">
        <v>1415</v>
      </c>
      <c r="B1814">
        <v>2016</v>
      </c>
      <c r="C1814" t="s">
        <v>1459</v>
      </c>
      <c r="D1814" t="s">
        <v>1459</v>
      </c>
      <c r="F1814" s="5">
        <v>1</v>
      </c>
      <c r="I1814" t="s">
        <v>1461</v>
      </c>
      <c r="J1814" t="s">
        <v>1462</v>
      </c>
      <c r="K1814" s="6">
        <f t="shared" si="62"/>
        <v>1</v>
      </c>
    </row>
    <row r="1815" spans="1:11" x14ac:dyDescent="0.2">
      <c r="A1815" t="s">
        <v>1415</v>
      </c>
      <c r="B1815">
        <v>2017</v>
      </c>
      <c r="C1815" t="s">
        <v>1459</v>
      </c>
      <c r="D1815" t="s">
        <v>1459</v>
      </c>
      <c r="F1815" s="5">
        <v>1</v>
      </c>
      <c r="I1815" t="s">
        <v>1461</v>
      </c>
      <c r="J1815" t="s">
        <v>1462</v>
      </c>
      <c r="K1815" s="6">
        <f t="shared" si="62"/>
        <v>1</v>
      </c>
    </row>
    <row r="1816" spans="1:11" x14ac:dyDescent="0.2">
      <c r="A1816" s="8" t="s">
        <v>1415</v>
      </c>
      <c r="B1816">
        <v>2018</v>
      </c>
      <c r="C1816" s="8" t="s">
        <v>1415</v>
      </c>
      <c r="D1816" t="s">
        <v>1459</v>
      </c>
      <c r="E1816" s="25"/>
      <c r="F1816" s="5">
        <v>1</v>
      </c>
      <c r="I1816" t="s">
        <v>1454</v>
      </c>
      <c r="J1816" t="s">
        <v>1455</v>
      </c>
      <c r="K1816" s="6">
        <f t="shared" si="62"/>
        <v>1</v>
      </c>
    </row>
    <row r="1817" spans="1:11" x14ac:dyDescent="0.2">
      <c r="A1817" t="s">
        <v>1415</v>
      </c>
      <c r="B1817">
        <v>2018</v>
      </c>
      <c r="C1817" s="8" t="s">
        <v>1415</v>
      </c>
      <c r="D1817" t="s">
        <v>1459</v>
      </c>
      <c r="E1817" s="25"/>
      <c r="F1817" s="5">
        <v>1</v>
      </c>
      <c r="I1817" t="s">
        <v>1461</v>
      </c>
      <c r="J1817" t="s">
        <v>1462</v>
      </c>
      <c r="K1817" s="6">
        <f t="shared" si="62"/>
        <v>1</v>
      </c>
    </row>
    <row r="1818" spans="1:11" x14ac:dyDescent="0.2">
      <c r="A1818" t="s">
        <v>1415</v>
      </c>
      <c r="B1818">
        <v>2018</v>
      </c>
      <c r="C1818" s="8" t="s">
        <v>1415</v>
      </c>
      <c r="D1818" t="s">
        <v>1459</v>
      </c>
      <c r="E1818" s="25"/>
      <c r="F1818" s="5">
        <v>1</v>
      </c>
      <c r="I1818" t="s">
        <v>1461</v>
      </c>
      <c r="J1818" t="s">
        <v>1462</v>
      </c>
      <c r="K1818" s="6">
        <f t="shared" si="62"/>
        <v>1</v>
      </c>
    </row>
    <row r="1819" spans="1:11" x14ac:dyDescent="0.2">
      <c r="A1819" t="s">
        <v>1415</v>
      </c>
      <c r="B1819">
        <v>2018</v>
      </c>
      <c r="C1819" t="s">
        <v>1459</v>
      </c>
      <c r="D1819" t="s">
        <v>1459</v>
      </c>
      <c r="E1819" s="25"/>
      <c r="F1819" s="5">
        <v>1</v>
      </c>
      <c r="I1819" t="s">
        <v>1461</v>
      </c>
      <c r="J1819" t="s">
        <v>1462</v>
      </c>
      <c r="K1819" s="6">
        <f t="shared" si="62"/>
        <v>1</v>
      </c>
    </row>
    <row r="1820" spans="1:11" x14ac:dyDescent="0.2">
      <c r="A1820" s="9" t="s">
        <v>1415</v>
      </c>
      <c r="B1820" s="9">
        <v>2019</v>
      </c>
      <c r="C1820" s="9" t="s">
        <v>1459</v>
      </c>
      <c r="D1820" s="9" t="s">
        <v>1459</v>
      </c>
      <c r="E1820" s="19"/>
      <c r="F1820" s="10">
        <v>1</v>
      </c>
      <c r="G1820" s="10"/>
      <c r="H1820" s="10"/>
      <c r="I1820" s="9" t="s">
        <v>1461</v>
      </c>
      <c r="J1820" s="9" t="s">
        <v>1462</v>
      </c>
      <c r="K1820" s="6">
        <f t="shared" si="62"/>
        <v>1</v>
      </c>
    </row>
    <row r="1821" spans="1:11" x14ac:dyDescent="0.2">
      <c r="A1821" s="9" t="s">
        <v>1415</v>
      </c>
      <c r="B1821" s="9">
        <v>2019</v>
      </c>
      <c r="C1821" s="9" t="s">
        <v>1459</v>
      </c>
      <c r="D1821" s="9" t="s">
        <v>1459</v>
      </c>
      <c r="E1821" s="19"/>
      <c r="F1821" s="10">
        <v>1</v>
      </c>
      <c r="G1821" s="10"/>
      <c r="H1821" s="10"/>
      <c r="I1821" s="9" t="s">
        <v>1461</v>
      </c>
      <c r="J1821" s="9" t="s">
        <v>1462</v>
      </c>
      <c r="K1821" s="6">
        <f t="shared" si="62"/>
        <v>1</v>
      </c>
    </row>
    <row r="1822" spans="1:11" x14ac:dyDescent="0.2">
      <c r="A1822" t="s">
        <v>1415</v>
      </c>
      <c r="B1822">
        <v>2018</v>
      </c>
      <c r="C1822" t="s">
        <v>1432</v>
      </c>
      <c r="D1822" t="s">
        <v>1464</v>
      </c>
      <c r="E1822" s="25"/>
      <c r="F1822" s="5">
        <v>1</v>
      </c>
      <c r="I1822" t="s">
        <v>1461</v>
      </c>
      <c r="J1822" t="s">
        <v>1462</v>
      </c>
      <c r="K1822" s="6">
        <f t="shared" si="62"/>
        <v>1</v>
      </c>
    </row>
    <row r="1823" spans="1:11" x14ac:dyDescent="0.2">
      <c r="A1823" t="s">
        <v>1415</v>
      </c>
      <c r="B1823">
        <v>2018</v>
      </c>
      <c r="C1823" t="s">
        <v>1432</v>
      </c>
      <c r="D1823" t="s">
        <v>1464</v>
      </c>
      <c r="E1823" s="25"/>
      <c r="F1823" s="5">
        <v>1</v>
      </c>
      <c r="I1823" t="s">
        <v>1461</v>
      </c>
      <c r="J1823" t="s">
        <v>1462</v>
      </c>
      <c r="K1823" s="6">
        <f t="shared" si="62"/>
        <v>1</v>
      </c>
    </row>
    <row r="1824" spans="1:11" x14ac:dyDescent="0.2">
      <c r="A1824" t="s">
        <v>1415</v>
      </c>
      <c r="B1824">
        <v>2016</v>
      </c>
      <c r="C1824" t="s">
        <v>1465</v>
      </c>
      <c r="D1824" t="s">
        <v>1465</v>
      </c>
      <c r="F1824" s="5">
        <v>1</v>
      </c>
      <c r="I1824" t="s">
        <v>1461</v>
      </c>
      <c r="J1824" t="s">
        <v>1462</v>
      </c>
      <c r="K1824" s="6">
        <f t="shared" si="62"/>
        <v>1</v>
      </c>
    </row>
    <row r="1825" spans="1:11" x14ac:dyDescent="0.2">
      <c r="A1825" s="8" t="s">
        <v>1415</v>
      </c>
      <c r="B1825">
        <v>2018</v>
      </c>
      <c r="C1825" s="8" t="s">
        <v>1415</v>
      </c>
      <c r="D1825" t="s">
        <v>1465</v>
      </c>
      <c r="E1825" s="25"/>
      <c r="F1825" s="5">
        <v>1</v>
      </c>
      <c r="I1825" t="s">
        <v>1461</v>
      </c>
      <c r="J1825" t="s">
        <v>1462</v>
      </c>
      <c r="K1825" s="6">
        <f t="shared" si="62"/>
        <v>1</v>
      </c>
    </row>
    <row r="1826" spans="1:11" x14ac:dyDescent="0.2">
      <c r="A1826" t="s">
        <v>1415</v>
      </c>
      <c r="B1826">
        <v>2018</v>
      </c>
      <c r="C1826" s="8" t="s">
        <v>1415</v>
      </c>
      <c r="D1826" t="s">
        <v>1465</v>
      </c>
      <c r="E1826" s="25"/>
      <c r="F1826" s="5">
        <v>1</v>
      </c>
      <c r="I1826" t="s">
        <v>1461</v>
      </c>
      <c r="J1826" t="s">
        <v>1462</v>
      </c>
      <c r="K1826" s="6">
        <f t="shared" si="62"/>
        <v>1</v>
      </c>
    </row>
    <row r="1827" spans="1:11" x14ac:dyDescent="0.2">
      <c r="A1827" t="s">
        <v>1415</v>
      </c>
      <c r="B1827">
        <v>2018</v>
      </c>
      <c r="C1827" s="8" t="s">
        <v>1415</v>
      </c>
      <c r="D1827" t="s">
        <v>1465</v>
      </c>
      <c r="E1827" s="25"/>
      <c r="F1827" s="5">
        <v>1</v>
      </c>
      <c r="I1827" t="s">
        <v>1461</v>
      </c>
      <c r="J1827" t="s">
        <v>1462</v>
      </c>
      <c r="K1827" s="6">
        <f t="shared" si="62"/>
        <v>1</v>
      </c>
    </row>
    <row r="1828" spans="1:11" x14ac:dyDescent="0.2">
      <c r="A1828" s="9" t="s">
        <v>1415</v>
      </c>
      <c r="B1828" s="9">
        <v>2019</v>
      </c>
      <c r="C1828" s="9" t="s">
        <v>1465</v>
      </c>
      <c r="D1828" s="9" t="s">
        <v>1465</v>
      </c>
      <c r="E1828" s="19"/>
      <c r="F1828" s="10">
        <v>1</v>
      </c>
      <c r="G1828" s="10"/>
      <c r="H1828" s="10"/>
      <c r="I1828" s="9" t="s">
        <v>1461</v>
      </c>
      <c r="J1828" s="9" t="s">
        <v>1462</v>
      </c>
      <c r="K1828" s="6">
        <f t="shared" si="62"/>
        <v>1</v>
      </c>
    </row>
    <row r="1829" spans="1:11" x14ac:dyDescent="0.2">
      <c r="A1829" s="9" t="s">
        <v>1415</v>
      </c>
      <c r="B1829" s="9">
        <v>2019</v>
      </c>
      <c r="C1829" s="9" t="s">
        <v>1465</v>
      </c>
      <c r="D1829" s="9" t="s">
        <v>1465</v>
      </c>
      <c r="E1829" s="19"/>
      <c r="F1829" s="10">
        <v>1</v>
      </c>
      <c r="G1829" s="10"/>
      <c r="H1829" s="10"/>
      <c r="I1829" s="9" t="s">
        <v>1461</v>
      </c>
      <c r="J1829" s="9" t="s">
        <v>1462</v>
      </c>
      <c r="K1829" s="6">
        <f t="shared" si="62"/>
        <v>1</v>
      </c>
    </row>
    <row r="1830" spans="1:11" x14ac:dyDescent="0.2">
      <c r="A1830" t="s">
        <v>1415</v>
      </c>
      <c r="B1830">
        <v>2010</v>
      </c>
      <c r="C1830" t="s">
        <v>1432</v>
      </c>
      <c r="D1830" t="s">
        <v>1466</v>
      </c>
      <c r="E1830" s="5">
        <v>1</v>
      </c>
      <c r="I1830" t="s">
        <v>1467</v>
      </c>
      <c r="J1830" t="s">
        <v>1468</v>
      </c>
      <c r="K1830" s="6">
        <f t="shared" si="62"/>
        <v>1</v>
      </c>
    </row>
    <row r="1831" spans="1:11" x14ac:dyDescent="0.2">
      <c r="A1831" t="s">
        <v>1415</v>
      </c>
      <c r="B1831">
        <v>2012</v>
      </c>
      <c r="C1831" t="s">
        <v>1432</v>
      </c>
      <c r="D1831" t="s">
        <v>1466</v>
      </c>
      <c r="E1831" s="5">
        <v>1</v>
      </c>
      <c r="I1831" t="s">
        <v>1467</v>
      </c>
      <c r="J1831" t="s">
        <v>1468</v>
      </c>
      <c r="K1831" s="6">
        <f t="shared" si="62"/>
        <v>1</v>
      </c>
    </row>
    <row r="1832" spans="1:11" x14ac:dyDescent="0.2">
      <c r="A1832" t="s">
        <v>1415</v>
      </c>
      <c r="B1832">
        <v>2015</v>
      </c>
      <c r="C1832" t="s">
        <v>1432</v>
      </c>
      <c r="D1832" t="s">
        <v>1466</v>
      </c>
      <c r="E1832" s="5">
        <v>1</v>
      </c>
      <c r="I1832" t="s">
        <v>1467</v>
      </c>
      <c r="J1832" t="s">
        <v>1468</v>
      </c>
      <c r="K1832" s="6">
        <f t="shared" si="62"/>
        <v>1</v>
      </c>
    </row>
    <row r="1833" spans="1:11" x14ac:dyDescent="0.2">
      <c r="A1833" t="s">
        <v>1415</v>
      </c>
      <c r="B1833">
        <v>2016</v>
      </c>
      <c r="C1833" t="s">
        <v>1432</v>
      </c>
      <c r="D1833" t="s">
        <v>1466</v>
      </c>
      <c r="E1833" s="5">
        <v>1</v>
      </c>
      <c r="I1833" t="s">
        <v>1467</v>
      </c>
      <c r="J1833" t="s">
        <v>1468</v>
      </c>
      <c r="K1833" s="6">
        <f t="shared" si="62"/>
        <v>1</v>
      </c>
    </row>
    <row r="1834" spans="1:11" x14ac:dyDescent="0.2">
      <c r="A1834" t="s">
        <v>1415</v>
      </c>
      <c r="B1834">
        <v>2018</v>
      </c>
      <c r="C1834" t="s">
        <v>1430</v>
      </c>
      <c r="D1834" t="s">
        <v>1466</v>
      </c>
      <c r="E1834" s="25">
        <v>1</v>
      </c>
      <c r="F1834" s="25"/>
      <c r="G1834" s="25"/>
      <c r="H1834" s="25"/>
      <c r="I1834" t="s">
        <v>1467</v>
      </c>
      <c r="J1834" t="s">
        <v>1468</v>
      </c>
      <c r="K1834" s="6">
        <f t="shared" si="62"/>
        <v>1</v>
      </c>
    </row>
    <row r="1835" spans="1:11" x14ac:dyDescent="0.2">
      <c r="A1835" t="s">
        <v>1415</v>
      </c>
      <c r="B1835">
        <v>2018</v>
      </c>
      <c r="C1835" t="s">
        <v>1430</v>
      </c>
      <c r="D1835" t="s">
        <v>1466</v>
      </c>
      <c r="E1835" s="25">
        <v>1</v>
      </c>
      <c r="F1835" s="25"/>
      <c r="G1835" s="25"/>
      <c r="H1835" s="25"/>
      <c r="I1835" t="s">
        <v>1467</v>
      </c>
      <c r="J1835" t="s">
        <v>1468</v>
      </c>
      <c r="K1835" s="6">
        <f t="shared" si="62"/>
        <v>1</v>
      </c>
    </row>
    <row r="1836" spans="1:11" x14ac:dyDescent="0.2">
      <c r="A1836" t="s">
        <v>1415</v>
      </c>
      <c r="B1836">
        <v>2014</v>
      </c>
      <c r="C1836" t="s">
        <v>1430</v>
      </c>
      <c r="D1836" t="s">
        <v>1469</v>
      </c>
      <c r="E1836" s="5">
        <v>1</v>
      </c>
      <c r="I1836" t="s">
        <v>1467</v>
      </c>
      <c r="J1836" t="s">
        <v>1468</v>
      </c>
      <c r="K1836" s="6">
        <f t="shared" si="62"/>
        <v>1</v>
      </c>
    </row>
    <row r="1837" spans="1:11" x14ac:dyDescent="0.2">
      <c r="A1837" s="8" t="s">
        <v>1415</v>
      </c>
      <c r="B1837">
        <v>2017</v>
      </c>
      <c r="C1837" s="8" t="s">
        <v>1415</v>
      </c>
      <c r="D1837" t="s">
        <v>1470</v>
      </c>
      <c r="E1837" s="5">
        <v>1</v>
      </c>
      <c r="I1837" t="s">
        <v>1467</v>
      </c>
      <c r="J1837" t="s">
        <v>1468</v>
      </c>
      <c r="K1837" s="6">
        <f t="shared" si="62"/>
        <v>1</v>
      </c>
    </row>
    <row r="1838" spans="1:11" x14ac:dyDescent="0.2">
      <c r="A1838" t="s">
        <v>1415</v>
      </c>
      <c r="B1838">
        <v>2010</v>
      </c>
      <c r="C1838" t="s">
        <v>1471</v>
      </c>
      <c r="D1838" t="s">
        <v>1471</v>
      </c>
      <c r="E1838" s="5">
        <v>1</v>
      </c>
      <c r="I1838" t="s">
        <v>1467</v>
      </c>
      <c r="J1838" t="s">
        <v>1468</v>
      </c>
      <c r="K1838" s="6">
        <f t="shared" si="62"/>
        <v>1</v>
      </c>
    </row>
    <row r="1839" spans="1:11" x14ac:dyDescent="0.2">
      <c r="A1839" t="s">
        <v>1415</v>
      </c>
      <c r="B1839">
        <v>2011</v>
      </c>
      <c r="C1839" t="s">
        <v>1471</v>
      </c>
      <c r="D1839" t="s">
        <v>1471</v>
      </c>
      <c r="E1839" s="5">
        <v>1</v>
      </c>
      <c r="I1839" t="s">
        <v>1467</v>
      </c>
      <c r="J1839" t="s">
        <v>1468</v>
      </c>
      <c r="K1839" s="6">
        <f t="shared" si="62"/>
        <v>1</v>
      </c>
    </row>
    <row r="1840" spans="1:11" x14ac:dyDescent="0.2">
      <c r="A1840" t="s">
        <v>1415</v>
      </c>
      <c r="B1840">
        <v>2012</v>
      </c>
      <c r="C1840" t="s">
        <v>1471</v>
      </c>
      <c r="D1840" t="s">
        <v>1471</v>
      </c>
      <c r="E1840" s="5">
        <v>1</v>
      </c>
      <c r="I1840" t="s">
        <v>1467</v>
      </c>
      <c r="J1840" t="s">
        <v>1468</v>
      </c>
      <c r="K1840" s="6">
        <f t="shared" si="62"/>
        <v>1</v>
      </c>
    </row>
    <row r="1841" spans="1:11" x14ac:dyDescent="0.2">
      <c r="A1841" t="s">
        <v>1415</v>
      </c>
      <c r="B1841">
        <v>2013</v>
      </c>
      <c r="C1841" t="s">
        <v>1471</v>
      </c>
      <c r="D1841" t="s">
        <v>1471</v>
      </c>
      <c r="E1841" s="5">
        <v>1</v>
      </c>
      <c r="I1841" t="s">
        <v>1467</v>
      </c>
      <c r="J1841" t="s">
        <v>1468</v>
      </c>
      <c r="K1841" s="6">
        <f t="shared" si="62"/>
        <v>1</v>
      </c>
    </row>
    <row r="1842" spans="1:11" x14ac:dyDescent="0.2">
      <c r="A1842" t="s">
        <v>1415</v>
      </c>
      <c r="B1842">
        <v>2014</v>
      </c>
      <c r="C1842" t="s">
        <v>1471</v>
      </c>
      <c r="D1842" t="s">
        <v>1471</v>
      </c>
      <c r="E1842" s="5">
        <v>1</v>
      </c>
      <c r="I1842" t="s">
        <v>1467</v>
      </c>
      <c r="J1842" t="s">
        <v>1468</v>
      </c>
      <c r="K1842" s="6">
        <f t="shared" si="62"/>
        <v>1</v>
      </c>
    </row>
    <row r="1843" spans="1:11" x14ac:dyDescent="0.2">
      <c r="A1843" t="s">
        <v>1415</v>
      </c>
      <c r="B1843">
        <v>2015</v>
      </c>
      <c r="C1843" t="s">
        <v>1471</v>
      </c>
      <c r="D1843" t="s">
        <v>1471</v>
      </c>
      <c r="E1843" s="5">
        <v>1</v>
      </c>
      <c r="I1843" t="s">
        <v>1467</v>
      </c>
      <c r="J1843" t="s">
        <v>1468</v>
      </c>
      <c r="K1843" s="6">
        <f t="shared" si="62"/>
        <v>1</v>
      </c>
    </row>
    <row r="1844" spans="1:11" x14ac:dyDescent="0.2">
      <c r="A1844" t="s">
        <v>1415</v>
      </c>
      <c r="B1844">
        <v>2016</v>
      </c>
      <c r="C1844" t="s">
        <v>1471</v>
      </c>
      <c r="D1844" t="s">
        <v>1471</v>
      </c>
      <c r="E1844" s="5">
        <v>1</v>
      </c>
      <c r="I1844" t="s">
        <v>1467</v>
      </c>
      <c r="J1844" t="s">
        <v>1468</v>
      </c>
      <c r="K1844" s="6">
        <f t="shared" si="62"/>
        <v>1</v>
      </c>
    </row>
    <row r="1845" spans="1:11" x14ac:dyDescent="0.2">
      <c r="A1845" t="s">
        <v>1415</v>
      </c>
      <c r="B1845">
        <v>2017</v>
      </c>
      <c r="C1845" t="s">
        <v>1471</v>
      </c>
      <c r="D1845" t="s">
        <v>1471</v>
      </c>
      <c r="E1845" s="5">
        <v>1</v>
      </c>
      <c r="I1845" t="s">
        <v>1467</v>
      </c>
      <c r="J1845" t="s">
        <v>1468</v>
      </c>
      <c r="K1845" s="6">
        <f t="shared" si="62"/>
        <v>1</v>
      </c>
    </row>
    <row r="1846" spans="1:11" x14ac:dyDescent="0.2">
      <c r="A1846" t="s">
        <v>1415</v>
      </c>
      <c r="B1846">
        <v>2018</v>
      </c>
      <c r="C1846" t="s">
        <v>1471</v>
      </c>
      <c r="D1846" t="s">
        <v>1471</v>
      </c>
      <c r="E1846" s="5">
        <v>1</v>
      </c>
      <c r="I1846" t="s">
        <v>1467</v>
      </c>
      <c r="J1846" t="s">
        <v>1468</v>
      </c>
      <c r="K1846" s="6">
        <f t="shared" si="62"/>
        <v>1</v>
      </c>
    </row>
    <row r="1847" spans="1:11" x14ac:dyDescent="0.2">
      <c r="A1847" t="s">
        <v>1415</v>
      </c>
      <c r="B1847">
        <v>2018</v>
      </c>
      <c r="C1847" s="8" t="s">
        <v>1415</v>
      </c>
      <c r="D1847" t="s">
        <v>1471</v>
      </c>
      <c r="E1847" s="25">
        <v>1</v>
      </c>
      <c r="F1847" s="25"/>
      <c r="G1847" s="25"/>
      <c r="H1847" s="25"/>
      <c r="I1847" t="s">
        <v>1467</v>
      </c>
      <c r="J1847" t="s">
        <v>1468</v>
      </c>
      <c r="K1847" s="6">
        <f t="shared" si="62"/>
        <v>1</v>
      </c>
    </row>
    <row r="1848" spans="1:11" x14ac:dyDescent="0.2">
      <c r="A1848" t="s">
        <v>1415</v>
      </c>
      <c r="B1848">
        <v>2018</v>
      </c>
      <c r="C1848" s="8" t="s">
        <v>1415</v>
      </c>
      <c r="D1848" t="s">
        <v>1471</v>
      </c>
      <c r="E1848" s="25">
        <v>1</v>
      </c>
      <c r="F1848" s="25"/>
      <c r="G1848" s="25"/>
      <c r="H1848" s="25"/>
      <c r="I1848" t="s">
        <v>1467</v>
      </c>
      <c r="J1848" t="s">
        <v>1468</v>
      </c>
      <c r="K1848" s="6">
        <f t="shared" si="62"/>
        <v>1</v>
      </c>
    </row>
    <row r="1849" spans="1:11" x14ac:dyDescent="0.2">
      <c r="A1849" s="9" t="s">
        <v>1415</v>
      </c>
      <c r="B1849" s="9">
        <v>2019</v>
      </c>
      <c r="C1849" s="9" t="s">
        <v>1471</v>
      </c>
      <c r="D1849" s="9" t="s">
        <v>1471</v>
      </c>
      <c r="E1849" s="10">
        <v>1</v>
      </c>
      <c r="F1849" s="10"/>
      <c r="G1849" s="10"/>
      <c r="H1849" s="10"/>
      <c r="I1849" s="9" t="s">
        <v>1467</v>
      </c>
      <c r="J1849" s="9" t="s">
        <v>1468</v>
      </c>
      <c r="K1849" s="6">
        <f t="shared" si="62"/>
        <v>1</v>
      </c>
    </row>
    <row r="1850" spans="1:11" x14ac:dyDescent="0.2">
      <c r="A1850" s="9" t="s">
        <v>1415</v>
      </c>
      <c r="B1850" s="9">
        <v>2019</v>
      </c>
      <c r="C1850" s="9" t="s">
        <v>1471</v>
      </c>
      <c r="D1850" s="9" t="s">
        <v>1471</v>
      </c>
      <c r="E1850" s="10">
        <v>1</v>
      </c>
      <c r="F1850" s="10"/>
      <c r="G1850" s="10"/>
      <c r="H1850" s="10"/>
      <c r="I1850" s="9" t="s">
        <v>1467</v>
      </c>
      <c r="J1850" s="9" t="s">
        <v>1468</v>
      </c>
      <c r="K1850" s="6">
        <f t="shared" si="62"/>
        <v>1</v>
      </c>
    </row>
    <row r="1851" spans="1:11" x14ac:dyDescent="0.2">
      <c r="A1851" t="s">
        <v>1415</v>
      </c>
      <c r="B1851">
        <v>2018</v>
      </c>
      <c r="C1851" t="s">
        <v>1472</v>
      </c>
      <c r="D1851" t="s">
        <v>1472</v>
      </c>
      <c r="E1851" s="25"/>
      <c r="F1851" s="5">
        <v>1</v>
      </c>
      <c r="I1851" t="s">
        <v>1417</v>
      </c>
      <c r="J1851" t="s">
        <v>1418</v>
      </c>
      <c r="K1851" s="6">
        <f t="shared" si="62"/>
        <v>1</v>
      </c>
    </row>
    <row r="1852" spans="1:11" x14ac:dyDescent="0.2">
      <c r="A1852" t="s">
        <v>1415</v>
      </c>
      <c r="B1852">
        <v>2018</v>
      </c>
      <c r="C1852" t="s">
        <v>1472</v>
      </c>
      <c r="D1852" t="s">
        <v>1472</v>
      </c>
      <c r="E1852" s="25"/>
      <c r="F1852" s="5">
        <v>1</v>
      </c>
      <c r="I1852" t="s">
        <v>1417</v>
      </c>
      <c r="J1852" t="s">
        <v>1418</v>
      </c>
      <c r="K1852" s="6">
        <f t="shared" si="62"/>
        <v>1</v>
      </c>
    </row>
    <row r="1853" spans="1:11" x14ac:dyDescent="0.2">
      <c r="A1853" s="9" t="s">
        <v>1415</v>
      </c>
      <c r="B1853" s="9">
        <v>2019</v>
      </c>
      <c r="C1853" s="9" t="s">
        <v>1472</v>
      </c>
      <c r="D1853" s="9" t="s">
        <v>1472</v>
      </c>
      <c r="E1853" s="19"/>
      <c r="F1853" s="10">
        <v>1</v>
      </c>
      <c r="G1853" s="10"/>
      <c r="H1853" s="10"/>
      <c r="I1853" s="9" t="s">
        <v>1417</v>
      </c>
      <c r="J1853" s="9" t="s">
        <v>1418</v>
      </c>
      <c r="K1853" s="6">
        <f t="shared" si="62"/>
        <v>1</v>
      </c>
    </row>
    <row r="1854" spans="1:11" x14ac:dyDescent="0.2">
      <c r="A1854" s="9" t="s">
        <v>1415</v>
      </c>
      <c r="B1854" s="9">
        <v>2019</v>
      </c>
      <c r="C1854" s="9" t="s">
        <v>1472</v>
      </c>
      <c r="D1854" s="9" t="s">
        <v>1472</v>
      </c>
      <c r="E1854" s="19"/>
      <c r="F1854" s="10">
        <v>1</v>
      </c>
      <c r="G1854" s="10"/>
      <c r="H1854" s="10"/>
      <c r="I1854" s="9" t="s">
        <v>1417</v>
      </c>
      <c r="J1854" s="9" t="s">
        <v>1418</v>
      </c>
      <c r="K1854" s="6">
        <f t="shared" si="62"/>
        <v>1</v>
      </c>
    </row>
    <row r="1855" spans="1:11" x14ac:dyDescent="0.2">
      <c r="A1855" t="s">
        <v>1415</v>
      </c>
      <c r="B1855">
        <v>2018</v>
      </c>
      <c r="C1855" t="s">
        <v>1473</v>
      </c>
      <c r="D1855" t="s">
        <v>1473</v>
      </c>
      <c r="E1855" s="25"/>
      <c r="F1855" s="5">
        <v>1</v>
      </c>
      <c r="I1855" t="s">
        <v>1417</v>
      </c>
      <c r="J1855" t="s">
        <v>1418</v>
      </c>
      <c r="K1855" s="6">
        <f t="shared" si="62"/>
        <v>1</v>
      </c>
    </row>
    <row r="1856" spans="1:11" x14ac:dyDescent="0.2">
      <c r="A1856" t="s">
        <v>1415</v>
      </c>
      <c r="B1856">
        <v>2018</v>
      </c>
      <c r="C1856" t="s">
        <v>1473</v>
      </c>
      <c r="D1856" t="s">
        <v>1473</v>
      </c>
      <c r="E1856" s="25"/>
      <c r="F1856" s="5">
        <v>1</v>
      </c>
      <c r="I1856" t="s">
        <v>1417</v>
      </c>
      <c r="J1856" t="s">
        <v>1418</v>
      </c>
      <c r="K1856" s="6">
        <f t="shared" si="62"/>
        <v>1</v>
      </c>
    </row>
    <row r="1857" spans="1:11" x14ac:dyDescent="0.2">
      <c r="A1857" t="s">
        <v>1415</v>
      </c>
      <c r="B1857">
        <v>2013</v>
      </c>
      <c r="C1857" t="s">
        <v>1419</v>
      </c>
      <c r="D1857" t="s">
        <v>1474</v>
      </c>
      <c r="F1857" s="5">
        <v>1</v>
      </c>
      <c r="I1857" t="s">
        <v>1417</v>
      </c>
      <c r="J1857" t="s">
        <v>1418</v>
      </c>
      <c r="K1857" s="6">
        <f t="shared" si="62"/>
        <v>1</v>
      </c>
    </row>
    <row r="1858" spans="1:11" x14ac:dyDescent="0.2">
      <c r="A1858" t="s">
        <v>1415</v>
      </c>
      <c r="B1858">
        <v>2014</v>
      </c>
      <c r="C1858" t="s">
        <v>1419</v>
      </c>
      <c r="D1858" t="s">
        <v>1474</v>
      </c>
      <c r="F1858" s="5">
        <v>1</v>
      </c>
      <c r="I1858" t="s">
        <v>1417</v>
      </c>
      <c r="J1858" t="s">
        <v>1418</v>
      </c>
      <c r="K1858" s="6">
        <f t="shared" ref="K1858:K1921" si="63">SUM(E1858:H1858)</f>
        <v>1</v>
      </c>
    </row>
    <row r="1859" spans="1:11" x14ac:dyDescent="0.2">
      <c r="A1859" s="8" t="s">
        <v>1415</v>
      </c>
      <c r="B1859">
        <v>2016</v>
      </c>
      <c r="C1859" s="8" t="s">
        <v>1415</v>
      </c>
      <c r="D1859" t="s">
        <v>1474</v>
      </c>
      <c r="F1859" s="5">
        <v>1</v>
      </c>
      <c r="I1859" t="s">
        <v>1423</v>
      </c>
      <c r="K1859" s="6">
        <f t="shared" si="63"/>
        <v>1</v>
      </c>
    </row>
    <row r="1860" spans="1:11" x14ac:dyDescent="0.2">
      <c r="A1860" s="8" t="s">
        <v>1415</v>
      </c>
      <c r="B1860">
        <v>2018</v>
      </c>
      <c r="C1860" s="8" t="s">
        <v>1415</v>
      </c>
      <c r="D1860" t="s">
        <v>1474</v>
      </c>
      <c r="F1860" s="5">
        <v>1</v>
      </c>
      <c r="I1860" t="s">
        <v>1423</v>
      </c>
      <c r="K1860" s="6">
        <f t="shared" si="63"/>
        <v>1</v>
      </c>
    </row>
    <row r="1861" spans="1:11" x14ac:dyDescent="0.2">
      <c r="A1861" t="s">
        <v>1415</v>
      </c>
      <c r="B1861">
        <v>2011</v>
      </c>
      <c r="C1861" t="s">
        <v>1475</v>
      </c>
      <c r="D1861" t="s">
        <v>1475</v>
      </c>
      <c r="F1861" s="5">
        <v>1</v>
      </c>
      <c r="I1861" t="s">
        <v>1417</v>
      </c>
      <c r="J1861" t="s">
        <v>1418</v>
      </c>
      <c r="K1861" s="6">
        <f t="shared" si="63"/>
        <v>1</v>
      </c>
    </row>
    <row r="1862" spans="1:11" x14ac:dyDescent="0.2">
      <c r="A1862" t="s">
        <v>1415</v>
      </c>
      <c r="B1862">
        <v>2015</v>
      </c>
      <c r="C1862" t="s">
        <v>1475</v>
      </c>
      <c r="D1862" t="s">
        <v>1475</v>
      </c>
      <c r="F1862" s="5">
        <v>1</v>
      </c>
      <c r="I1862" t="s">
        <v>1417</v>
      </c>
      <c r="J1862" t="s">
        <v>1418</v>
      </c>
      <c r="K1862" s="6">
        <f t="shared" si="63"/>
        <v>1</v>
      </c>
    </row>
    <row r="1863" spans="1:11" x14ac:dyDescent="0.2">
      <c r="A1863" t="s">
        <v>1415</v>
      </c>
      <c r="B1863">
        <v>2016</v>
      </c>
      <c r="C1863" t="s">
        <v>1475</v>
      </c>
      <c r="D1863" t="s">
        <v>1475</v>
      </c>
      <c r="F1863" s="5">
        <v>1</v>
      </c>
      <c r="I1863" t="s">
        <v>1417</v>
      </c>
      <c r="J1863" t="s">
        <v>1418</v>
      </c>
      <c r="K1863" s="6">
        <f t="shared" si="63"/>
        <v>1</v>
      </c>
    </row>
    <row r="1864" spans="1:11" x14ac:dyDescent="0.2">
      <c r="A1864" s="8" t="s">
        <v>1415</v>
      </c>
      <c r="B1864">
        <v>2018</v>
      </c>
      <c r="C1864" s="8" t="s">
        <v>1415</v>
      </c>
      <c r="D1864" t="s">
        <v>1475</v>
      </c>
      <c r="F1864" s="5">
        <v>1</v>
      </c>
      <c r="I1864" t="s">
        <v>1423</v>
      </c>
      <c r="K1864" s="6">
        <f t="shared" si="63"/>
        <v>1</v>
      </c>
    </row>
    <row r="1865" spans="1:11" x14ac:dyDescent="0.2">
      <c r="A1865" t="s">
        <v>1415</v>
      </c>
      <c r="B1865">
        <v>2018</v>
      </c>
      <c r="C1865" s="8" t="s">
        <v>1415</v>
      </c>
      <c r="D1865" t="s">
        <v>1475</v>
      </c>
      <c r="E1865" s="25"/>
      <c r="F1865" s="5">
        <v>1</v>
      </c>
      <c r="I1865" t="s">
        <v>1417</v>
      </c>
      <c r="J1865" t="s">
        <v>1418</v>
      </c>
      <c r="K1865" s="6">
        <f t="shared" si="63"/>
        <v>1</v>
      </c>
    </row>
    <row r="1866" spans="1:11" x14ac:dyDescent="0.2">
      <c r="A1866" t="s">
        <v>1415</v>
      </c>
      <c r="B1866">
        <v>2018</v>
      </c>
      <c r="C1866" s="8" t="s">
        <v>1415</v>
      </c>
      <c r="D1866" t="s">
        <v>1475</v>
      </c>
      <c r="E1866" s="25"/>
      <c r="F1866" s="5">
        <v>1</v>
      </c>
      <c r="I1866" t="s">
        <v>1417</v>
      </c>
      <c r="J1866" t="s">
        <v>1418</v>
      </c>
      <c r="K1866" s="6">
        <f t="shared" si="63"/>
        <v>1</v>
      </c>
    </row>
    <row r="1867" spans="1:11" x14ac:dyDescent="0.2">
      <c r="A1867" t="s">
        <v>1415</v>
      </c>
      <c r="B1867">
        <v>2018</v>
      </c>
      <c r="C1867" t="s">
        <v>1430</v>
      </c>
      <c r="D1867" t="s">
        <v>1476</v>
      </c>
      <c r="E1867" s="5">
        <v>1</v>
      </c>
      <c r="I1867" t="s">
        <v>1477</v>
      </c>
      <c r="J1867" t="s">
        <v>1478</v>
      </c>
      <c r="K1867" s="6">
        <f t="shared" si="63"/>
        <v>1</v>
      </c>
    </row>
    <row r="1868" spans="1:11" x14ac:dyDescent="0.2">
      <c r="A1868" t="s">
        <v>1415</v>
      </c>
      <c r="B1868">
        <v>2018</v>
      </c>
      <c r="C1868" s="8" t="s">
        <v>1415</v>
      </c>
      <c r="D1868" t="s">
        <v>1476</v>
      </c>
      <c r="E1868" s="5">
        <v>1</v>
      </c>
      <c r="I1868" t="s">
        <v>1477</v>
      </c>
      <c r="J1868" t="s">
        <v>1478</v>
      </c>
      <c r="K1868" s="6">
        <f t="shared" si="63"/>
        <v>1</v>
      </c>
    </row>
    <row r="1869" spans="1:11" x14ac:dyDescent="0.2">
      <c r="A1869" t="s">
        <v>1415</v>
      </c>
      <c r="B1869">
        <v>2018</v>
      </c>
      <c r="C1869" s="8" t="s">
        <v>1415</v>
      </c>
      <c r="D1869" t="s">
        <v>1476</v>
      </c>
      <c r="E1869" s="5">
        <v>1</v>
      </c>
      <c r="I1869" t="s">
        <v>1477</v>
      </c>
      <c r="J1869" t="s">
        <v>1478</v>
      </c>
      <c r="K1869" s="6">
        <f t="shared" si="63"/>
        <v>1</v>
      </c>
    </row>
    <row r="1870" spans="1:11" x14ac:dyDescent="0.2">
      <c r="A1870" t="s">
        <v>1415</v>
      </c>
      <c r="B1870">
        <v>2017</v>
      </c>
      <c r="C1870" t="s">
        <v>1470</v>
      </c>
      <c r="D1870" t="s">
        <v>1479</v>
      </c>
      <c r="E1870" s="5">
        <v>1</v>
      </c>
      <c r="I1870" t="s">
        <v>1467</v>
      </c>
      <c r="J1870" t="s">
        <v>1468</v>
      </c>
      <c r="K1870" s="6">
        <f t="shared" si="63"/>
        <v>1</v>
      </c>
    </row>
    <row r="1871" spans="1:11" x14ac:dyDescent="0.2">
      <c r="A1871" t="s">
        <v>1415</v>
      </c>
      <c r="B1871">
        <v>2012</v>
      </c>
      <c r="C1871" t="s">
        <v>1460</v>
      </c>
      <c r="D1871" t="s">
        <v>1480</v>
      </c>
      <c r="F1871" s="5">
        <v>1</v>
      </c>
      <c r="I1871" t="s">
        <v>1461</v>
      </c>
      <c r="J1871" t="s">
        <v>1462</v>
      </c>
      <c r="K1871" s="6">
        <f t="shared" si="63"/>
        <v>1</v>
      </c>
    </row>
    <row r="1872" spans="1:11" x14ac:dyDescent="0.2">
      <c r="A1872" t="s">
        <v>1415</v>
      </c>
      <c r="B1872">
        <v>2015</v>
      </c>
      <c r="C1872" t="s">
        <v>1460</v>
      </c>
      <c r="D1872" t="s">
        <v>1480</v>
      </c>
      <c r="F1872" s="5">
        <v>1</v>
      </c>
      <c r="I1872" t="s">
        <v>1461</v>
      </c>
      <c r="J1872" t="s">
        <v>1462</v>
      </c>
      <c r="K1872" s="6">
        <f t="shared" si="63"/>
        <v>1</v>
      </c>
    </row>
    <row r="1873" spans="1:11" x14ac:dyDescent="0.2">
      <c r="A1873" t="s">
        <v>1481</v>
      </c>
      <c r="B1873">
        <v>2010</v>
      </c>
      <c r="C1873" t="s">
        <v>1481</v>
      </c>
      <c r="D1873" t="s">
        <v>1482</v>
      </c>
      <c r="G1873" s="5">
        <f>1030445191.85/(1030445191.85+2320381803.13+1364029278.76+354665414.92)</f>
        <v>0.20326280369901567</v>
      </c>
      <c r="I1873" t="s">
        <v>1483</v>
      </c>
      <c r="J1873" t="s">
        <v>1484</v>
      </c>
      <c r="K1873" s="6">
        <f t="shared" si="63"/>
        <v>0.20326280369901567</v>
      </c>
    </row>
    <row r="1874" spans="1:11" x14ac:dyDescent="0.2">
      <c r="A1874" t="s">
        <v>1481</v>
      </c>
      <c r="B1874">
        <v>2011</v>
      </c>
      <c r="C1874" t="s">
        <v>1481</v>
      </c>
      <c r="D1874" t="s">
        <v>1485</v>
      </c>
      <c r="G1874" s="5">
        <v>1</v>
      </c>
      <c r="I1874" t="s">
        <v>1486</v>
      </c>
      <c r="J1874" t="s">
        <v>1487</v>
      </c>
      <c r="K1874" s="6">
        <f t="shared" si="63"/>
        <v>1</v>
      </c>
    </row>
    <row r="1875" spans="1:11" x14ac:dyDescent="0.2">
      <c r="A1875" t="s">
        <v>1481</v>
      </c>
      <c r="B1875">
        <v>2018</v>
      </c>
      <c r="C1875" t="s">
        <v>1488</v>
      </c>
      <c r="D1875" t="s">
        <v>1488</v>
      </c>
      <c r="E1875" s="7"/>
      <c r="F1875" s="7"/>
      <c r="G1875" s="7">
        <v>1</v>
      </c>
      <c r="H1875" s="7"/>
      <c r="I1875" t="s">
        <v>1489</v>
      </c>
      <c r="J1875" t="s">
        <v>1490</v>
      </c>
      <c r="K1875" s="6">
        <f t="shared" si="63"/>
        <v>1</v>
      </c>
    </row>
    <row r="1876" spans="1:11" x14ac:dyDescent="0.2">
      <c r="A1876" t="s">
        <v>1481</v>
      </c>
      <c r="B1876">
        <v>2018</v>
      </c>
      <c r="C1876" t="s">
        <v>1488</v>
      </c>
      <c r="D1876" t="s">
        <v>1488</v>
      </c>
      <c r="E1876" s="7"/>
      <c r="F1876" s="7"/>
      <c r="G1876" s="7">
        <v>1</v>
      </c>
      <c r="H1876" s="7"/>
      <c r="I1876" t="s">
        <v>1489</v>
      </c>
      <c r="J1876" t="s">
        <v>1490</v>
      </c>
      <c r="K1876" s="6">
        <f t="shared" si="63"/>
        <v>1</v>
      </c>
    </row>
    <row r="1877" spans="1:11" x14ac:dyDescent="0.2">
      <c r="A1877" t="s">
        <v>1481</v>
      </c>
      <c r="B1877">
        <v>2014</v>
      </c>
      <c r="C1877" t="s">
        <v>327</v>
      </c>
      <c r="D1877" t="s">
        <v>1491</v>
      </c>
      <c r="G1877" s="5">
        <v>1</v>
      </c>
      <c r="I1877" t="s">
        <v>1489</v>
      </c>
      <c r="J1877" t="s">
        <v>1490</v>
      </c>
      <c r="K1877" s="6">
        <f t="shared" si="63"/>
        <v>1</v>
      </c>
    </row>
    <row r="1878" spans="1:11" x14ac:dyDescent="0.2">
      <c r="A1878" t="s">
        <v>1481</v>
      </c>
      <c r="B1878">
        <v>2013</v>
      </c>
      <c r="C1878" t="s">
        <v>1492</v>
      </c>
      <c r="D1878" t="s">
        <v>1492</v>
      </c>
      <c r="G1878" s="5">
        <v>1</v>
      </c>
      <c r="I1878" t="s">
        <v>1489</v>
      </c>
      <c r="J1878" t="s">
        <v>1490</v>
      </c>
      <c r="K1878" s="6">
        <f t="shared" si="63"/>
        <v>1</v>
      </c>
    </row>
    <row r="1879" spans="1:11" x14ac:dyDescent="0.2">
      <c r="A1879" t="s">
        <v>1481</v>
      </c>
      <c r="B1879">
        <v>2014</v>
      </c>
      <c r="C1879" t="s">
        <v>1492</v>
      </c>
      <c r="D1879" t="s">
        <v>1492</v>
      </c>
      <c r="G1879" s="5">
        <v>1</v>
      </c>
      <c r="I1879" t="s">
        <v>1489</v>
      </c>
      <c r="J1879" t="s">
        <v>1490</v>
      </c>
      <c r="K1879" s="6">
        <f t="shared" si="63"/>
        <v>1</v>
      </c>
    </row>
    <row r="1880" spans="1:11" x14ac:dyDescent="0.2">
      <c r="A1880" t="s">
        <v>1481</v>
      </c>
      <c r="B1880">
        <v>2015</v>
      </c>
      <c r="C1880" t="s">
        <v>1492</v>
      </c>
      <c r="D1880" t="s">
        <v>1492</v>
      </c>
      <c r="G1880" s="5">
        <v>1</v>
      </c>
      <c r="I1880" t="s">
        <v>1489</v>
      </c>
      <c r="J1880" t="s">
        <v>1490</v>
      </c>
      <c r="K1880" s="6">
        <f t="shared" si="63"/>
        <v>1</v>
      </c>
    </row>
    <row r="1881" spans="1:11" x14ac:dyDescent="0.2">
      <c r="A1881" t="s">
        <v>1481</v>
      </c>
      <c r="B1881">
        <v>2016</v>
      </c>
      <c r="C1881" t="s">
        <v>1492</v>
      </c>
      <c r="D1881" t="s">
        <v>1492</v>
      </c>
      <c r="G1881" s="5">
        <v>1</v>
      </c>
      <c r="I1881" t="s">
        <v>1489</v>
      </c>
      <c r="J1881" t="s">
        <v>1490</v>
      </c>
      <c r="K1881" s="6">
        <f t="shared" si="63"/>
        <v>1</v>
      </c>
    </row>
    <row r="1882" spans="1:11" x14ac:dyDescent="0.2">
      <c r="A1882" t="s">
        <v>1481</v>
      </c>
      <c r="B1882">
        <v>2017</v>
      </c>
      <c r="C1882" t="s">
        <v>1493</v>
      </c>
      <c r="D1882" t="s">
        <v>1493</v>
      </c>
      <c r="G1882" s="5">
        <v>1</v>
      </c>
      <c r="I1882" t="s">
        <v>1489</v>
      </c>
      <c r="J1882" t="s">
        <v>1490</v>
      </c>
      <c r="K1882" s="6">
        <f t="shared" si="63"/>
        <v>1</v>
      </c>
    </row>
    <row r="1883" spans="1:11" x14ac:dyDescent="0.2">
      <c r="A1883" s="8" t="s">
        <v>1481</v>
      </c>
      <c r="B1883">
        <v>2018</v>
      </c>
      <c r="C1883" s="8" t="s">
        <v>1494</v>
      </c>
      <c r="D1883" t="s">
        <v>1493</v>
      </c>
      <c r="E1883" s="7"/>
      <c r="F1883" s="7"/>
      <c r="G1883" s="7">
        <v>1</v>
      </c>
      <c r="H1883" s="7"/>
      <c r="I1883" t="s">
        <v>1489</v>
      </c>
      <c r="J1883" t="s">
        <v>1490</v>
      </c>
      <c r="K1883" s="6">
        <f t="shared" si="63"/>
        <v>1</v>
      </c>
    </row>
    <row r="1884" spans="1:11" x14ac:dyDescent="0.2">
      <c r="A1884" t="s">
        <v>1481</v>
      </c>
      <c r="B1884">
        <v>2018</v>
      </c>
      <c r="C1884" s="8" t="s">
        <v>1494</v>
      </c>
      <c r="D1884" t="s">
        <v>1493</v>
      </c>
      <c r="E1884" s="7"/>
      <c r="F1884" s="7"/>
      <c r="G1884" s="7">
        <v>1</v>
      </c>
      <c r="H1884" s="7"/>
      <c r="I1884" t="s">
        <v>1489</v>
      </c>
      <c r="J1884" t="s">
        <v>1490</v>
      </c>
      <c r="K1884" s="6">
        <f t="shared" si="63"/>
        <v>1</v>
      </c>
    </row>
    <row r="1885" spans="1:11" x14ac:dyDescent="0.2">
      <c r="A1885" t="s">
        <v>1481</v>
      </c>
      <c r="B1885">
        <v>2018</v>
      </c>
      <c r="C1885" t="s">
        <v>1495</v>
      </c>
      <c r="D1885" t="s">
        <v>1495</v>
      </c>
      <c r="E1885" s="7"/>
      <c r="F1885" s="7"/>
      <c r="G1885" s="7">
        <v>1</v>
      </c>
      <c r="H1885" s="7"/>
      <c r="I1885" t="s">
        <v>1489</v>
      </c>
      <c r="J1885" t="s">
        <v>1490</v>
      </c>
      <c r="K1885" s="6">
        <f t="shared" si="63"/>
        <v>1</v>
      </c>
    </row>
    <row r="1886" spans="1:11" x14ac:dyDescent="0.2">
      <c r="A1886" t="s">
        <v>1481</v>
      </c>
      <c r="B1886">
        <v>2018</v>
      </c>
      <c r="C1886" t="s">
        <v>1495</v>
      </c>
      <c r="D1886" t="s">
        <v>1495</v>
      </c>
      <c r="E1886" s="7"/>
      <c r="F1886" s="7"/>
      <c r="G1886" s="7">
        <v>1</v>
      </c>
      <c r="H1886" s="7"/>
      <c r="I1886" t="s">
        <v>1489</v>
      </c>
      <c r="J1886" t="s">
        <v>1490</v>
      </c>
      <c r="K1886" s="6">
        <f t="shared" si="63"/>
        <v>1</v>
      </c>
    </row>
    <row r="1887" spans="1:11" x14ac:dyDescent="0.2">
      <c r="A1887" s="9" t="s">
        <v>1481</v>
      </c>
      <c r="B1887" s="9">
        <v>2019</v>
      </c>
      <c r="C1887" s="9" t="s">
        <v>1495</v>
      </c>
      <c r="D1887" s="9" t="s">
        <v>1495</v>
      </c>
      <c r="E1887" s="10"/>
      <c r="F1887" s="10"/>
      <c r="G1887" s="10">
        <v>1</v>
      </c>
      <c r="H1887" s="10"/>
      <c r="I1887" s="9" t="s">
        <v>1489</v>
      </c>
      <c r="J1887" s="9" t="s">
        <v>1490</v>
      </c>
      <c r="K1887" s="6">
        <f t="shared" si="63"/>
        <v>1</v>
      </c>
    </row>
    <row r="1888" spans="1:11" x14ac:dyDescent="0.2">
      <c r="A1888" s="9" t="s">
        <v>1481</v>
      </c>
      <c r="B1888" s="9">
        <v>2019</v>
      </c>
      <c r="C1888" s="9" t="s">
        <v>1495</v>
      </c>
      <c r="D1888" s="9" t="s">
        <v>1495</v>
      </c>
      <c r="E1888" s="10"/>
      <c r="F1888" s="10"/>
      <c r="G1888" s="10">
        <v>1</v>
      </c>
      <c r="H1888" s="10"/>
      <c r="I1888" s="9" t="s">
        <v>1489</v>
      </c>
      <c r="J1888" s="9" t="s">
        <v>1490</v>
      </c>
      <c r="K1888" s="6">
        <f t="shared" si="63"/>
        <v>1</v>
      </c>
    </row>
    <row r="1889" spans="1:11" x14ac:dyDescent="0.2">
      <c r="A1889" t="s">
        <v>1481</v>
      </c>
      <c r="B1889">
        <v>2015</v>
      </c>
      <c r="C1889" t="s">
        <v>1496</v>
      </c>
      <c r="D1889" t="s">
        <v>1497</v>
      </c>
      <c r="G1889" s="5">
        <v>1</v>
      </c>
      <c r="I1889" t="s">
        <v>1489</v>
      </c>
      <c r="J1889" t="s">
        <v>1490</v>
      </c>
      <c r="K1889" s="6">
        <f t="shared" si="63"/>
        <v>1</v>
      </c>
    </row>
    <row r="1890" spans="1:11" x14ac:dyDescent="0.2">
      <c r="A1890" t="s">
        <v>1481</v>
      </c>
      <c r="B1890">
        <v>2013</v>
      </c>
      <c r="C1890" t="s">
        <v>1496</v>
      </c>
      <c r="D1890" t="s">
        <v>1498</v>
      </c>
      <c r="G1890" s="5">
        <v>1</v>
      </c>
      <c r="I1890" t="s">
        <v>1489</v>
      </c>
      <c r="J1890" t="s">
        <v>1490</v>
      </c>
      <c r="K1890" s="6">
        <f t="shared" si="63"/>
        <v>1</v>
      </c>
    </row>
    <row r="1891" spans="1:11" x14ac:dyDescent="0.2">
      <c r="A1891" t="s">
        <v>1481</v>
      </c>
      <c r="B1891">
        <v>2014</v>
      </c>
      <c r="C1891" t="s">
        <v>1492</v>
      </c>
      <c r="D1891" t="s">
        <v>1499</v>
      </c>
      <c r="G1891" s="5">
        <v>1</v>
      </c>
      <c r="I1891" t="s">
        <v>1500</v>
      </c>
      <c r="J1891" t="s">
        <v>1501</v>
      </c>
      <c r="K1891" s="6">
        <f t="shared" si="63"/>
        <v>1</v>
      </c>
    </row>
    <row r="1892" spans="1:11" x14ac:dyDescent="0.2">
      <c r="A1892" t="s">
        <v>1481</v>
      </c>
      <c r="B1892">
        <v>2015</v>
      </c>
      <c r="C1892" t="s">
        <v>1492</v>
      </c>
      <c r="D1892" t="s">
        <v>1502</v>
      </c>
      <c r="G1892" s="5">
        <v>1</v>
      </c>
      <c r="I1892" t="s">
        <v>1503</v>
      </c>
      <c r="J1892" t="s">
        <v>1501</v>
      </c>
      <c r="K1892" s="6">
        <f t="shared" si="63"/>
        <v>1</v>
      </c>
    </row>
    <row r="1893" spans="1:11" x14ac:dyDescent="0.2">
      <c r="A1893" s="8" t="s">
        <v>1481</v>
      </c>
      <c r="B1893">
        <v>2017</v>
      </c>
      <c r="C1893" s="8" t="s">
        <v>1492</v>
      </c>
      <c r="D1893" t="s">
        <v>1502</v>
      </c>
      <c r="G1893" s="5">
        <v>1</v>
      </c>
      <c r="I1893" t="s">
        <v>1489</v>
      </c>
      <c r="J1893" t="s">
        <v>1490</v>
      </c>
      <c r="K1893" s="6">
        <f t="shared" si="63"/>
        <v>1</v>
      </c>
    </row>
    <row r="1894" spans="1:11" x14ac:dyDescent="0.2">
      <c r="A1894" t="s">
        <v>1481</v>
      </c>
      <c r="B1894">
        <v>2011</v>
      </c>
      <c r="C1894" t="s">
        <v>1481</v>
      </c>
      <c r="D1894" t="s">
        <v>1504</v>
      </c>
      <c r="G1894" s="5">
        <f>1525607562.22/(1525607562.22+1824652126.94+5054238619.57+260119637.7)</f>
        <v>0.17607326389371633</v>
      </c>
      <c r="I1894" t="s">
        <v>1505</v>
      </c>
      <c r="J1894" t="s">
        <v>1506</v>
      </c>
      <c r="K1894" s="6">
        <f t="shared" si="63"/>
        <v>0.17607326389371633</v>
      </c>
    </row>
    <row r="1895" spans="1:11" x14ac:dyDescent="0.2">
      <c r="A1895" t="s">
        <v>1481</v>
      </c>
      <c r="B1895">
        <v>2012</v>
      </c>
      <c r="C1895" t="s">
        <v>327</v>
      </c>
      <c r="D1895" t="s">
        <v>1504</v>
      </c>
      <c r="G1895" s="5">
        <f>3746407779.5/(3746407779.5+2788958045.73+5745093921.91+413566915.42+35250882.85)</f>
        <v>0.29431425044627946</v>
      </c>
      <c r="I1895" t="s">
        <v>1507</v>
      </c>
      <c r="J1895" t="s">
        <v>1508</v>
      </c>
      <c r="K1895" s="6">
        <f t="shared" si="63"/>
        <v>0.29431425044627946</v>
      </c>
    </row>
    <row r="1896" spans="1:11" x14ac:dyDescent="0.2">
      <c r="A1896" t="s">
        <v>1481</v>
      </c>
      <c r="B1896">
        <v>2014</v>
      </c>
      <c r="C1896" t="s">
        <v>1504</v>
      </c>
      <c r="D1896" t="s">
        <v>1504</v>
      </c>
      <c r="G1896" s="5">
        <f>2437292977.8/(2437292977.8+779763560.92+1393415769.91+3942708474+1190418396.4+4391898033.44+11408931491.76)</f>
        <v>9.5413876975702305E-2</v>
      </c>
      <c r="I1896" t="s">
        <v>1509</v>
      </c>
      <c r="J1896" t="s">
        <v>1510</v>
      </c>
      <c r="K1896" s="6">
        <f t="shared" si="63"/>
        <v>9.5413876975702305E-2</v>
      </c>
    </row>
    <row r="1897" spans="1:11" x14ac:dyDescent="0.2">
      <c r="A1897" t="s">
        <v>1481</v>
      </c>
      <c r="B1897">
        <v>2015</v>
      </c>
      <c r="C1897" t="s">
        <v>1504</v>
      </c>
      <c r="D1897" t="s">
        <v>1504</v>
      </c>
      <c r="G1897" s="5">
        <f>2523025630.64/(2523025630.64+595846147.63+5287019916.74+2863504621.49+1853871261.31+3710508117.16+16084449558.93)</f>
        <v>7.6645250804980233E-2</v>
      </c>
      <c r="I1897" t="s">
        <v>1509</v>
      </c>
      <c r="J1897" t="s">
        <v>1511</v>
      </c>
      <c r="K1897" s="6">
        <f t="shared" si="63"/>
        <v>7.6645250804980233E-2</v>
      </c>
    </row>
    <row r="1898" spans="1:11" x14ac:dyDescent="0.2">
      <c r="A1898" t="s">
        <v>1481</v>
      </c>
      <c r="B1898">
        <v>2016</v>
      </c>
      <c r="C1898" t="s">
        <v>1504</v>
      </c>
      <c r="D1898" t="s">
        <v>1504</v>
      </c>
      <c r="G1898" s="5">
        <f>12627835058.83/(12627835058.83+4612082654.71+8190076391.65+855614499.53+2758509891.36+10980395765.36+32335388119.35)</f>
        <v>0.1745142633329812</v>
      </c>
      <c r="I1898" t="s">
        <v>1512</v>
      </c>
      <c r="J1898" t="s">
        <v>1513</v>
      </c>
      <c r="K1898" s="6">
        <f t="shared" si="63"/>
        <v>0.1745142633329812</v>
      </c>
    </row>
    <row r="1899" spans="1:11" x14ac:dyDescent="0.2">
      <c r="A1899" t="s">
        <v>1481</v>
      </c>
      <c r="B1899">
        <v>2017</v>
      </c>
      <c r="C1899" t="s">
        <v>1504</v>
      </c>
      <c r="D1899" t="s">
        <v>1504</v>
      </c>
      <c r="G1899" s="5">
        <f>11523632401.04/(11523632401.04+5827219909.97+9140168719.9+3513098890.31+2854719069.33+14117402323.91+956680123.65+956680123.65+28844202983.59)</f>
        <v>0.1482448011960755</v>
      </c>
      <c r="I1899" t="s">
        <v>1512</v>
      </c>
      <c r="J1899" t="s">
        <v>1514</v>
      </c>
      <c r="K1899" s="6">
        <f t="shared" si="63"/>
        <v>0.1482448011960755</v>
      </c>
    </row>
    <row r="1900" spans="1:11" x14ac:dyDescent="0.2">
      <c r="A1900" s="8" t="s">
        <v>1481</v>
      </c>
      <c r="B1900">
        <v>2018</v>
      </c>
      <c r="C1900" s="8" t="s">
        <v>1481</v>
      </c>
      <c r="D1900" t="s">
        <v>1504</v>
      </c>
      <c r="E1900" s="7"/>
      <c r="F1900" s="7"/>
      <c r="G1900" s="7">
        <f t="shared" ref="G1900:G1908" si="64">13185780974.4/(13185780974.4+5782031763.7+5334184718.52+2980951659.8+23706791274.67+1007718859.29+24035301163.02)</f>
        <v>0.17342236297494917</v>
      </c>
      <c r="H1900" s="7"/>
      <c r="I1900" t="s">
        <v>1512</v>
      </c>
      <c r="J1900" t="s">
        <v>1515</v>
      </c>
      <c r="K1900" s="6">
        <f t="shared" si="63"/>
        <v>0.17342236297494917</v>
      </c>
    </row>
    <row r="1901" spans="1:11" x14ac:dyDescent="0.2">
      <c r="A1901" t="s">
        <v>1481</v>
      </c>
      <c r="B1901">
        <v>2018</v>
      </c>
      <c r="C1901" s="8" t="s">
        <v>1481</v>
      </c>
      <c r="D1901" t="s">
        <v>1504</v>
      </c>
      <c r="E1901" s="7"/>
      <c r="F1901" s="7"/>
      <c r="G1901" s="7">
        <f t="shared" si="64"/>
        <v>0.17342236297494917</v>
      </c>
      <c r="H1901" s="7"/>
      <c r="I1901" t="s">
        <v>1512</v>
      </c>
      <c r="J1901" t="s">
        <v>1515</v>
      </c>
      <c r="K1901" s="6">
        <f t="shared" si="63"/>
        <v>0.17342236297494917</v>
      </c>
    </row>
    <row r="1902" spans="1:11" x14ac:dyDescent="0.2">
      <c r="A1902" t="s">
        <v>1481</v>
      </c>
      <c r="B1902">
        <v>2018</v>
      </c>
      <c r="C1902" t="s">
        <v>1504</v>
      </c>
      <c r="D1902" t="s">
        <v>1504</v>
      </c>
      <c r="E1902" s="7"/>
      <c r="F1902" s="7"/>
      <c r="G1902" s="7">
        <f t="shared" si="64"/>
        <v>0.17342236297494917</v>
      </c>
      <c r="H1902" s="7"/>
      <c r="I1902" t="s">
        <v>1512</v>
      </c>
      <c r="J1902" t="s">
        <v>1515</v>
      </c>
      <c r="K1902" s="6">
        <f t="shared" si="63"/>
        <v>0.17342236297494917</v>
      </c>
    </row>
    <row r="1903" spans="1:11" x14ac:dyDescent="0.2">
      <c r="A1903" t="s">
        <v>1481</v>
      </c>
      <c r="B1903">
        <v>2018</v>
      </c>
      <c r="C1903" t="s">
        <v>327</v>
      </c>
      <c r="D1903" t="s">
        <v>1516</v>
      </c>
      <c r="E1903" s="7"/>
      <c r="F1903" s="7"/>
      <c r="G1903" s="7">
        <f t="shared" si="64"/>
        <v>0.17342236297494917</v>
      </c>
      <c r="H1903" s="7"/>
      <c r="I1903" t="s">
        <v>1512</v>
      </c>
      <c r="J1903" t="s">
        <v>1515</v>
      </c>
      <c r="K1903" s="6">
        <f t="shared" si="63"/>
        <v>0.17342236297494917</v>
      </c>
    </row>
    <row r="1904" spans="1:11" x14ac:dyDescent="0.2">
      <c r="A1904" s="9" t="s">
        <v>1481</v>
      </c>
      <c r="B1904" s="9">
        <v>2019</v>
      </c>
      <c r="C1904" s="9" t="s">
        <v>1504</v>
      </c>
      <c r="D1904" s="9" t="s">
        <v>1504</v>
      </c>
      <c r="E1904" s="10"/>
      <c r="F1904" s="10"/>
      <c r="G1904" s="10">
        <f t="shared" si="64"/>
        <v>0.17342236297494917</v>
      </c>
      <c r="H1904" s="10"/>
      <c r="I1904" s="9" t="s">
        <v>1512</v>
      </c>
      <c r="J1904" s="9" t="s">
        <v>1515</v>
      </c>
      <c r="K1904" s="6">
        <f t="shared" si="63"/>
        <v>0.17342236297494917</v>
      </c>
    </row>
    <row r="1905" spans="1:11" x14ac:dyDescent="0.2">
      <c r="A1905" s="8" t="s">
        <v>1481</v>
      </c>
      <c r="B1905">
        <v>2018</v>
      </c>
      <c r="C1905" s="8" t="s">
        <v>1481</v>
      </c>
      <c r="D1905" t="s">
        <v>1517</v>
      </c>
      <c r="E1905" s="7"/>
      <c r="F1905" s="7"/>
      <c r="G1905" s="7">
        <f t="shared" si="64"/>
        <v>0.17342236297494917</v>
      </c>
      <c r="H1905" s="7"/>
      <c r="I1905" t="s">
        <v>1512</v>
      </c>
      <c r="J1905" t="s">
        <v>1515</v>
      </c>
      <c r="K1905" s="6">
        <f t="shared" si="63"/>
        <v>0.17342236297494917</v>
      </c>
    </row>
    <row r="1906" spans="1:11" x14ac:dyDescent="0.2">
      <c r="A1906" t="s">
        <v>1481</v>
      </c>
      <c r="B1906">
        <v>2018</v>
      </c>
      <c r="C1906" s="8" t="s">
        <v>1481</v>
      </c>
      <c r="D1906" t="s">
        <v>1517</v>
      </c>
      <c r="E1906" s="7"/>
      <c r="F1906" s="7"/>
      <c r="G1906" s="7">
        <f t="shared" si="64"/>
        <v>0.17342236297494917</v>
      </c>
      <c r="H1906" s="7"/>
      <c r="I1906" t="s">
        <v>1512</v>
      </c>
      <c r="J1906" t="s">
        <v>1515</v>
      </c>
      <c r="K1906" s="6">
        <f t="shared" si="63"/>
        <v>0.17342236297494917</v>
      </c>
    </row>
    <row r="1907" spans="1:11" x14ac:dyDescent="0.2">
      <c r="A1907" t="s">
        <v>1481</v>
      </c>
      <c r="B1907">
        <v>2018</v>
      </c>
      <c r="C1907" t="s">
        <v>1517</v>
      </c>
      <c r="D1907" t="s">
        <v>1517</v>
      </c>
      <c r="E1907" s="7"/>
      <c r="F1907" s="7"/>
      <c r="G1907" s="7">
        <f t="shared" si="64"/>
        <v>0.17342236297494917</v>
      </c>
      <c r="H1907" s="7"/>
      <c r="I1907" t="s">
        <v>1512</v>
      </c>
      <c r="J1907" t="s">
        <v>1515</v>
      </c>
      <c r="K1907" s="6">
        <f t="shared" si="63"/>
        <v>0.17342236297494917</v>
      </c>
    </row>
    <row r="1908" spans="1:11" x14ac:dyDescent="0.2">
      <c r="A1908" s="9" t="s">
        <v>1481</v>
      </c>
      <c r="B1908" s="9">
        <v>2019</v>
      </c>
      <c r="C1908" s="9" t="s">
        <v>1517</v>
      </c>
      <c r="D1908" s="9" t="s">
        <v>1517</v>
      </c>
      <c r="E1908" s="10"/>
      <c r="F1908" s="10"/>
      <c r="G1908" s="10">
        <f t="shared" si="64"/>
        <v>0.17342236297494917</v>
      </c>
      <c r="H1908" s="10"/>
      <c r="I1908" s="9" t="s">
        <v>1512</v>
      </c>
      <c r="J1908" s="9" t="s">
        <v>1515</v>
      </c>
      <c r="K1908" s="6">
        <f t="shared" si="63"/>
        <v>0.17342236297494917</v>
      </c>
    </row>
    <row r="1909" spans="1:11" x14ac:dyDescent="0.2">
      <c r="A1909" t="s">
        <v>1481</v>
      </c>
      <c r="B1909">
        <v>2016</v>
      </c>
      <c r="C1909" t="s">
        <v>1481</v>
      </c>
      <c r="D1909" t="s">
        <v>1518</v>
      </c>
      <c r="E1909" s="7"/>
      <c r="F1909" s="7"/>
      <c r="G1909" s="7">
        <f>12627835058.83/(12627835058.83+4612082654.71+8190076391.65+855614499.53+2758509891.36+10980395765.36+32335388119.35)</f>
        <v>0.1745142633329812</v>
      </c>
      <c r="H1909" s="7"/>
      <c r="I1909" t="s">
        <v>1512</v>
      </c>
      <c r="J1909" t="s">
        <v>1513</v>
      </c>
      <c r="K1909" s="6">
        <f t="shared" si="63"/>
        <v>0.1745142633329812</v>
      </c>
    </row>
    <row r="1910" spans="1:11" x14ac:dyDescent="0.2">
      <c r="A1910" s="8" t="s">
        <v>1481</v>
      </c>
      <c r="B1910">
        <v>2018</v>
      </c>
      <c r="C1910" s="8" t="s">
        <v>1481</v>
      </c>
      <c r="D1910" t="s">
        <v>1518</v>
      </c>
      <c r="E1910" s="7"/>
      <c r="F1910" s="7"/>
      <c r="G1910" s="7">
        <f>13185780974.4/(13185780974.4+5782031763.7+5334184718.52+2980951659.8+23706791274.67+1007718859.29+24035301163.02)</f>
        <v>0.17342236297494917</v>
      </c>
      <c r="H1910" s="7"/>
      <c r="I1910" t="s">
        <v>1512</v>
      </c>
      <c r="J1910" t="s">
        <v>1515</v>
      </c>
      <c r="K1910" s="6">
        <f t="shared" si="63"/>
        <v>0.17342236297494917</v>
      </c>
    </row>
    <row r="1911" spans="1:11" x14ac:dyDescent="0.2">
      <c r="A1911" t="s">
        <v>1481</v>
      </c>
      <c r="B1911">
        <v>2018</v>
      </c>
      <c r="C1911" s="8" t="s">
        <v>1481</v>
      </c>
      <c r="D1911" t="s">
        <v>1518</v>
      </c>
      <c r="E1911" s="7"/>
      <c r="F1911" s="7"/>
      <c r="G1911" s="7">
        <f>13185780974.4/(13185780974.4+5782031763.7+5334184718.52+2980951659.8+23706791274.67+1007718859.29+24035301163.02)</f>
        <v>0.17342236297494917</v>
      </c>
      <c r="H1911" s="7"/>
      <c r="I1911" t="s">
        <v>1512</v>
      </c>
      <c r="J1911" t="s">
        <v>1515</v>
      </c>
      <c r="K1911" s="6">
        <f t="shared" si="63"/>
        <v>0.17342236297494917</v>
      </c>
    </row>
    <row r="1912" spans="1:11" x14ac:dyDescent="0.2">
      <c r="A1912" t="s">
        <v>1481</v>
      </c>
      <c r="B1912">
        <v>2016</v>
      </c>
      <c r="C1912" t="s">
        <v>1519</v>
      </c>
      <c r="D1912" t="s">
        <v>1519</v>
      </c>
      <c r="E1912" s="7"/>
      <c r="F1912" s="7"/>
      <c r="G1912" s="7">
        <f>12627835058.83/(12627835058.83+4612082654.71+8190076391.65+855614499.53+2758509891.36+10980395765.36+32335388119.35)</f>
        <v>0.1745142633329812</v>
      </c>
      <c r="H1912" s="7"/>
      <c r="I1912" t="s">
        <v>1512</v>
      </c>
      <c r="J1912" t="s">
        <v>1513</v>
      </c>
      <c r="K1912" s="6">
        <f t="shared" si="63"/>
        <v>0.1745142633329812</v>
      </c>
    </row>
    <row r="1913" spans="1:11" x14ac:dyDescent="0.2">
      <c r="A1913" s="8" t="s">
        <v>1481</v>
      </c>
      <c r="B1913">
        <v>2018</v>
      </c>
      <c r="C1913" s="8" t="s">
        <v>1481</v>
      </c>
      <c r="D1913" t="s">
        <v>1519</v>
      </c>
      <c r="E1913" s="7"/>
      <c r="F1913" s="7"/>
      <c r="G1913" s="7">
        <f>13185780974.4/(13185780974.4+5782031763.7+5334184718.52+2980951659.8+23706791274.67+1007718859.29+24035301163.02)</f>
        <v>0.17342236297494917</v>
      </c>
      <c r="H1913" s="7"/>
      <c r="I1913" t="s">
        <v>1512</v>
      </c>
      <c r="J1913" t="s">
        <v>1515</v>
      </c>
      <c r="K1913" s="6">
        <f t="shared" si="63"/>
        <v>0.17342236297494917</v>
      </c>
    </row>
    <row r="1914" spans="1:11" x14ac:dyDescent="0.2">
      <c r="A1914" t="s">
        <v>1481</v>
      </c>
      <c r="B1914">
        <v>2018</v>
      </c>
      <c r="C1914" s="8" t="s">
        <v>1481</v>
      </c>
      <c r="D1914" t="s">
        <v>1519</v>
      </c>
      <c r="E1914" s="7"/>
      <c r="F1914" s="7"/>
      <c r="G1914" s="7">
        <f>13185780974.4/(13185780974.4+5782031763.7+5334184718.52+2980951659.8+23706791274.67+1007718859.29+24035301163.02)</f>
        <v>0.17342236297494917</v>
      </c>
      <c r="H1914" s="7"/>
      <c r="I1914" t="s">
        <v>1512</v>
      </c>
      <c r="J1914" t="s">
        <v>1515</v>
      </c>
      <c r="K1914" s="6">
        <f t="shared" si="63"/>
        <v>0.17342236297494917</v>
      </c>
    </row>
    <row r="1915" spans="1:11" x14ac:dyDescent="0.2">
      <c r="A1915" t="s">
        <v>1481</v>
      </c>
      <c r="B1915">
        <v>2018</v>
      </c>
      <c r="C1915" t="s">
        <v>1519</v>
      </c>
      <c r="D1915" t="s">
        <v>1519</v>
      </c>
      <c r="E1915" s="7"/>
      <c r="F1915" s="7"/>
      <c r="G1915" s="7">
        <f>13185780974.4/(13185780974.4+5782031763.7+5334184718.52+2980951659.8+23706791274.67+1007718859.29+24035301163.02)</f>
        <v>0.17342236297494917</v>
      </c>
      <c r="H1915" s="7"/>
      <c r="I1915" t="s">
        <v>1512</v>
      </c>
      <c r="J1915" t="s">
        <v>1515</v>
      </c>
      <c r="K1915" s="6">
        <f t="shared" si="63"/>
        <v>0.17342236297494917</v>
      </c>
    </row>
    <row r="1916" spans="1:11" x14ac:dyDescent="0.2">
      <c r="A1916" s="8" t="s">
        <v>1481</v>
      </c>
      <c r="B1916">
        <v>2015</v>
      </c>
      <c r="C1916" s="8" t="s">
        <v>1481</v>
      </c>
      <c r="D1916" t="s">
        <v>1520</v>
      </c>
      <c r="E1916" s="7"/>
      <c r="F1916" s="7"/>
      <c r="G1916" s="7">
        <f>2523025630.64/(2523025630.64+595846147.63+5287019916.74+2863504621.49+1853871261.31+3710508117.16+16084449558.93)</f>
        <v>7.6645250804980233E-2</v>
      </c>
      <c r="H1916" s="7"/>
      <c r="I1916" t="s">
        <v>1521</v>
      </c>
      <c r="J1916" t="s">
        <v>1511</v>
      </c>
      <c r="K1916" s="6">
        <f t="shared" si="63"/>
        <v>7.6645250804980233E-2</v>
      </c>
    </row>
    <row r="1917" spans="1:11" x14ac:dyDescent="0.2">
      <c r="A1917" s="8" t="s">
        <v>1481</v>
      </c>
      <c r="B1917">
        <v>2016</v>
      </c>
      <c r="C1917" s="8" t="s">
        <v>1481</v>
      </c>
      <c r="D1917" t="s">
        <v>1520</v>
      </c>
      <c r="E1917" s="7"/>
      <c r="F1917" s="7"/>
      <c r="G1917" s="7">
        <f>12627835058.83/(12627835058.83+4612082654.71+8190076391.65+855614499.53+2758509891.36+10980395765.36+32335388119.35)</f>
        <v>0.1745142633329812</v>
      </c>
      <c r="H1917" s="7"/>
      <c r="I1917" t="s">
        <v>1512</v>
      </c>
      <c r="J1917" t="s">
        <v>1513</v>
      </c>
      <c r="K1917" s="6">
        <f t="shared" si="63"/>
        <v>0.1745142633329812</v>
      </c>
    </row>
    <row r="1918" spans="1:11" x14ac:dyDescent="0.2">
      <c r="A1918" s="8" t="s">
        <v>1481</v>
      </c>
      <c r="B1918">
        <v>2017</v>
      </c>
      <c r="C1918" s="8" t="s">
        <v>1481</v>
      </c>
      <c r="D1918" t="s">
        <v>1520</v>
      </c>
      <c r="E1918" s="7"/>
      <c r="F1918" s="7"/>
      <c r="G1918" s="7">
        <f>11523632401.04/(11523632401.04+5827219909.97+9140168719.9+3513098890.31+2854719069.33+14117402323.91+956680123.65+956680123.65+28844202983.59)</f>
        <v>0.1482448011960755</v>
      </c>
      <c r="H1918" s="7"/>
      <c r="I1918" t="s">
        <v>1512</v>
      </c>
      <c r="J1918" t="s">
        <v>1514</v>
      </c>
      <c r="K1918" s="6">
        <f t="shared" si="63"/>
        <v>0.1482448011960755</v>
      </c>
    </row>
    <row r="1919" spans="1:11" x14ac:dyDescent="0.2">
      <c r="A1919" s="8" t="s">
        <v>1481</v>
      </c>
      <c r="B1919">
        <v>2018</v>
      </c>
      <c r="C1919" s="8" t="s">
        <v>1481</v>
      </c>
      <c r="D1919" t="s">
        <v>1520</v>
      </c>
      <c r="E1919" s="7"/>
      <c r="F1919" s="7"/>
      <c r="G1919" s="7">
        <f>13185780974.4/(13185780974.4+5782031763.7+5334184718.52+2980951659.8+23706791274.67+1007718859.29+24035301163.02)</f>
        <v>0.17342236297494917</v>
      </c>
      <c r="H1919" s="7"/>
      <c r="I1919" t="s">
        <v>1512</v>
      </c>
      <c r="J1919" t="s">
        <v>1515</v>
      </c>
      <c r="K1919" s="6">
        <f t="shared" si="63"/>
        <v>0.17342236297494917</v>
      </c>
    </row>
    <row r="1920" spans="1:11" x14ac:dyDescent="0.2">
      <c r="A1920" t="s">
        <v>1481</v>
      </c>
      <c r="B1920">
        <v>2018</v>
      </c>
      <c r="C1920" s="8" t="s">
        <v>1481</v>
      </c>
      <c r="D1920" t="s">
        <v>1520</v>
      </c>
      <c r="E1920" s="7"/>
      <c r="F1920" s="7"/>
      <c r="G1920" s="7">
        <f>13185780974.4/(13185780974.4+5782031763.7+5334184718.52+2980951659.8+23706791274.67+1007718859.29+24035301163.02)</f>
        <v>0.17342236297494917</v>
      </c>
      <c r="H1920" s="7"/>
      <c r="I1920" t="s">
        <v>1512</v>
      </c>
      <c r="J1920" t="s">
        <v>1515</v>
      </c>
      <c r="K1920" s="6">
        <f t="shared" si="63"/>
        <v>0.17342236297494917</v>
      </c>
    </row>
    <row r="1921" spans="1:11" x14ac:dyDescent="0.2">
      <c r="A1921" t="s">
        <v>1481</v>
      </c>
      <c r="B1921">
        <v>2010</v>
      </c>
      <c r="C1921" t="s">
        <v>1481</v>
      </c>
      <c r="D1921" t="s">
        <v>1481</v>
      </c>
      <c r="E1921" s="7"/>
      <c r="F1921" s="7"/>
      <c r="G1921" s="7">
        <f>1030445191.85/(1030445191.85+2320381803.13+1364029278.76+354665414.92)</f>
        <v>0.20326280369901567</v>
      </c>
      <c r="H1921" s="7"/>
      <c r="I1921" t="s">
        <v>1522</v>
      </c>
      <c r="J1921" t="s">
        <v>1484</v>
      </c>
      <c r="K1921" s="6">
        <f t="shared" si="63"/>
        <v>0.20326280369901567</v>
      </c>
    </row>
    <row r="1922" spans="1:11" x14ac:dyDescent="0.2">
      <c r="A1922" t="s">
        <v>1481</v>
      </c>
      <c r="B1922">
        <v>2011</v>
      </c>
      <c r="C1922" t="s">
        <v>1481</v>
      </c>
      <c r="D1922" t="s">
        <v>1481</v>
      </c>
      <c r="E1922" s="7"/>
      <c r="F1922" s="7"/>
      <c r="G1922" s="7">
        <f>1525607562.22/(1525607562.22+1824652126.94+5054238619.57+260119637.7)</f>
        <v>0.17607326389371633</v>
      </c>
      <c r="H1922" s="7"/>
      <c r="I1922" t="s">
        <v>1522</v>
      </c>
      <c r="J1922" t="s">
        <v>1506</v>
      </c>
      <c r="K1922" s="6">
        <f t="shared" ref="K1922:K1985" si="65">SUM(E1922:H1922)</f>
        <v>0.17607326389371633</v>
      </c>
    </row>
    <row r="1923" spans="1:11" x14ac:dyDescent="0.2">
      <c r="A1923" t="s">
        <v>1481</v>
      </c>
      <c r="B1923">
        <v>2013</v>
      </c>
      <c r="C1923" t="s">
        <v>1481</v>
      </c>
      <c r="D1923" t="s">
        <v>1481</v>
      </c>
      <c r="E1923" s="7"/>
      <c r="F1923" s="7"/>
      <c r="G1923" s="7">
        <f>3045930897.75/(3045930897.75+1468086995.59+9643901319.03+898349692.27+45631097.09)</f>
        <v>0.20169189952264766</v>
      </c>
      <c r="H1923" s="7"/>
      <c r="I1923" t="s">
        <v>1523</v>
      </c>
      <c r="J1923" t="s">
        <v>1524</v>
      </c>
      <c r="K1923" s="6">
        <f t="shared" si="65"/>
        <v>0.20169189952264766</v>
      </c>
    </row>
    <row r="1924" spans="1:11" x14ac:dyDescent="0.2">
      <c r="A1924" t="s">
        <v>1481</v>
      </c>
      <c r="B1924">
        <v>2013</v>
      </c>
      <c r="C1924" t="s">
        <v>1525</v>
      </c>
      <c r="D1924" t="s">
        <v>1525</v>
      </c>
      <c r="E1924" s="7"/>
      <c r="F1924" s="7"/>
      <c r="G1924" s="7">
        <f>3045930897.75/(3045930897.75+1468086995.59+9643901319.03+898349692.27+45631097.09)</f>
        <v>0.20169189952264766</v>
      </c>
      <c r="H1924" s="7"/>
      <c r="I1924" t="s">
        <v>1523</v>
      </c>
      <c r="J1924" t="s">
        <v>1524</v>
      </c>
      <c r="K1924" s="6">
        <f t="shared" si="65"/>
        <v>0.20169189952264766</v>
      </c>
    </row>
    <row r="1925" spans="1:11" x14ac:dyDescent="0.2">
      <c r="A1925" t="s">
        <v>1481</v>
      </c>
      <c r="B1925">
        <v>2015</v>
      </c>
      <c r="C1925" t="s">
        <v>1481</v>
      </c>
      <c r="D1925" t="s">
        <v>1526</v>
      </c>
      <c r="E1925" s="7"/>
      <c r="F1925" s="7"/>
      <c r="G1925" s="7">
        <f>2523025630.64/(2523025630.64+595846147.63+5287019916.74+2863504621.49+1853871261.31+3710508117.16+16084449558.93)</f>
        <v>7.6645250804980233E-2</v>
      </c>
      <c r="H1925" s="7"/>
      <c r="I1925" t="s">
        <v>1527</v>
      </c>
      <c r="J1925" t="s">
        <v>1511</v>
      </c>
      <c r="K1925" s="6">
        <f t="shared" si="65"/>
        <v>7.6645250804980233E-2</v>
      </c>
    </row>
    <row r="1926" spans="1:11" x14ac:dyDescent="0.2">
      <c r="A1926" t="s">
        <v>1481</v>
      </c>
      <c r="B1926">
        <v>2010</v>
      </c>
      <c r="C1926" t="s">
        <v>1481</v>
      </c>
      <c r="D1926" t="s">
        <v>1528</v>
      </c>
      <c r="E1926" s="7"/>
      <c r="F1926" s="7"/>
      <c r="G1926" s="7">
        <f>1030445191.85/(1030445191.85+2320381803.13+1364029278.76+354665414.92)</f>
        <v>0.20326280369901567</v>
      </c>
      <c r="H1926" s="7"/>
      <c r="I1926" t="s">
        <v>1522</v>
      </c>
      <c r="J1926" t="s">
        <v>1484</v>
      </c>
      <c r="K1926" s="6">
        <f t="shared" si="65"/>
        <v>0.20326280369901567</v>
      </c>
    </row>
    <row r="1927" spans="1:11" x14ac:dyDescent="0.2">
      <c r="A1927" s="8" t="s">
        <v>1481</v>
      </c>
      <c r="B1927">
        <v>2017</v>
      </c>
      <c r="C1927" s="8" t="s">
        <v>1481</v>
      </c>
      <c r="D1927" t="s">
        <v>1529</v>
      </c>
      <c r="E1927" s="7"/>
      <c r="F1927" s="7"/>
      <c r="G1927" s="7">
        <f>11523632401.04/(11523632401.04+5827219909.97+9140168719.9+3513098890.31+2854719069.33+14117402323.91+956680123.65+956680123.65+28844202983.59)</f>
        <v>0.1482448011960755</v>
      </c>
      <c r="H1927" s="7"/>
      <c r="I1927" t="s">
        <v>1512</v>
      </c>
      <c r="J1927" t="s">
        <v>1514</v>
      </c>
      <c r="K1927" s="6">
        <f t="shared" si="65"/>
        <v>0.1482448011960755</v>
      </c>
    </row>
    <row r="1928" spans="1:11" x14ac:dyDescent="0.2">
      <c r="A1928" t="s">
        <v>1481</v>
      </c>
      <c r="B1928">
        <v>2011</v>
      </c>
      <c r="C1928" t="s">
        <v>327</v>
      </c>
      <c r="D1928" t="s">
        <v>1530</v>
      </c>
      <c r="E1928" s="7"/>
      <c r="F1928" s="7"/>
      <c r="G1928" s="7">
        <f>1525607562.22/(1525607562.22+1824652126.94+5054238619.57+260119637.7)</f>
        <v>0.17607326389371633</v>
      </c>
      <c r="H1928" s="7"/>
      <c r="I1928" t="s">
        <v>1522</v>
      </c>
      <c r="J1928" t="s">
        <v>1506</v>
      </c>
      <c r="K1928" s="6">
        <f t="shared" si="65"/>
        <v>0.17607326389371633</v>
      </c>
    </row>
    <row r="1929" spans="1:11" x14ac:dyDescent="0.2">
      <c r="A1929" t="s">
        <v>1481</v>
      </c>
      <c r="B1929">
        <v>2012</v>
      </c>
      <c r="C1929" t="s">
        <v>327</v>
      </c>
      <c r="D1929" t="s">
        <v>1530</v>
      </c>
      <c r="E1929" s="7"/>
      <c r="F1929" s="7"/>
      <c r="G1929" s="7">
        <f>3746407779.5/(3746407779.5+2788958045.73+5745093921.91+413566915.42+35250882.85)</f>
        <v>0.29431425044627946</v>
      </c>
      <c r="H1929" s="7"/>
      <c r="I1929" t="s">
        <v>1523</v>
      </c>
      <c r="J1929" t="s">
        <v>1508</v>
      </c>
      <c r="K1929" s="6">
        <f t="shared" si="65"/>
        <v>0.29431425044627946</v>
      </c>
    </row>
    <row r="1930" spans="1:11" x14ac:dyDescent="0.2">
      <c r="A1930" s="8" t="s">
        <v>1481</v>
      </c>
      <c r="B1930">
        <v>2016</v>
      </c>
      <c r="C1930" s="8" t="s">
        <v>1481</v>
      </c>
      <c r="D1930" t="s">
        <v>1530</v>
      </c>
      <c r="E1930" s="7"/>
      <c r="F1930" s="7"/>
      <c r="G1930" s="7">
        <f>12627835058.83/(12627835058.83+4612082654.71+8190076391.65+855614499.53+2758509891.36+10980395765.36+32335388119.35)</f>
        <v>0.1745142633329812</v>
      </c>
      <c r="H1930" s="7"/>
      <c r="I1930" t="s">
        <v>1512</v>
      </c>
      <c r="J1930" t="s">
        <v>1513</v>
      </c>
      <c r="K1930" s="6">
        <f t="shared" si="65"/>
        <v>0.1745142633329812</v>
      </c>
    </row>
    <row r="1931" spans="1:11" x14ac:dyDescent="0.2">
      <c r="A1931" s="8" t="s">
        <v>1481</v>
      </c>
      <c r="B1931">
        <v>2015</v>
      </c>
      <c r="C1931" s="8" t="s">
        <v>1481</v>
      </c>
      <c r="D1931" t="s">
        <v>1531</v>
      </c>
      <c r="E1931" s="7"/>
      <c r="F1931" s="7"/>
      <c r="G1931" s="7">
        <f>2523025630.64/(2523025630.64+595846147.63+5287019916.74+2863504621.49+1853871261.31+3710508117.16+16084449558.93)</f>
        <v>7.6645250804980233E-2</v>
      </c>
      <c r="H1931" s="7"/>
      <c r="I1931" t="s">
        <v>1527</v>
      </c>
      <c r="J1931" t="s">
        <v>1511</v>
      </c>
      <c r="K1931" s="6">
        <f t="shared" si="65"/>
        <v>7.6645250804980233E-2</v>
      </c>
    </row>
    <row r="1932" spans="1:11" x14ac:dyDescent="0.2">
      <c r="A1932" s="8" t="s">
        <v>1481</v>
      </c>
      <c r="B1932">
        <v>2016</v>
      </c>
      <c r="C1932" s="8" t="s">
        <v>1481</v>
      </c>
      <c r="D1932" t="s">
        <v>1531</v>
      </c>
      <c r="E1932" s="7"/>
      <c r="F1932" s="7"/>
      <c r="G1932" s="7">
        <f>12627835058.83/(12627835058.83+4612082654.71+8190076391.65+855614499.53+2758509891.36+10980395765.36+32335388119.35)</f>
        <v>0.1745142633329812</v>
      </c>
      <c r="H1932" s="7"/>
      <c r="I1932" t="s">
        <v>1512</v>
      </c>
      <c r="J1932" t="s">
        <v>1513</v>
      </c>
      <c r="K1932" s="6">
        <f t="shared" si="65"/>
        <v>0.1745142633329812</v>
      </c>
    </row>
    <row r="1933" spans="1:11" x14ac:dyDescent="0.2">
      <c r="A1933" s="8" t="s">
        <v>1481</v>
      </c>
      <c r="B1933">
        <v>2017</v>
      </c>
      <c r="C1933" s="8" t="s">
        <v>1481</v>
      </c>
      <c r="D1933" t="s">
        <v>1531</v>
      </c>
      <c r="E1933" s="7"/>
      <c r="F1933" s="7"/>
      <c r="G1933" s="7">
        <f>11523632401.04/(11523632401.04+5827219909.97+9140168719.9+3513098890.31+2854719069.33+14117402323.91+956680123.65+956680123.65+28844202983.59)</f>
        <v>0.1482448011960755</v>
      </c>
      <c r="H1933" s="7"/>
      <c r="I1933" t="s">
        <v>1512</v>
      </c>
      <c r="J1933" t="s">
        <v>1514</v>
      </c>
      <c r="K1933" s="6">
        <f t="shared" si="65"/>
        <v>0.1482448011960755</v>
      </c>
    </row>
    <row r="1934" spans="1:11" x14ac:dyDescent="0.2">
      <c r="A1934" s="8" t="s">
        <v>1481</v>
      </c>
      <c r="B1934">
        <v>2018</v>
      </c>
      <c r="C1934" s="8" t="s">
        <v>1481</v>
      </c>
      <c r="D1934" t="s">
        <v>1531</v>
      </c>
      <c r="E1934" s="7"/>
      <c r="F1934" s="7"/>
      <c r="G1934" s="7">
        <f>13185780974.4/(13185780974.4+5782031763.7+5334184718.52+2980951659.8+23706791274.67+1007718859.29+24035301163.02)</f>
        <v>0.17342236297494917</v>
      </c>
      <c r="H1934" s="7"/>
      <c r="I1934" t="s">
        <v>1512</v>
      </c>
      <c r="J1934" t="s">
        <v>1515</v>
      </c>
      <c r="K1934" s="6">
        <f t="shared" si="65"/>
        <v>0.17342236297494917</v>
      </c>
    </row>
    <row r="1935" spans="1:11" x14ac:dyDescent="0.2">
      <c r="A1935" t="s">
        <v>1481</v>
      </c>
      <c r="B1935">
        <v>2018</v>
      </c>
      <c r="C1935" s="8" t="s">
        <v>1481</v>
      </c>
      <c r="D1935" t="s">
        <v>1531</v>
      </c>
      <c r="E1935" s="7"/>
      <c r="F1935" s="7"/>
      <c r="G1935" s="7">
        <f>13185780974.4/(13185780974.4+5782031763.7+5334184718.52+2980951659.8+23706791274.67+1007718859.29+24035301163.02)</f>
        <v>0.17342236297494917</v>
      </c>
      <c r="H1935" s="7"/>
      <c r="I1935" t="s">
        <v>1512</v>
      </c>
      <c r="J1935" t="s">
        <v>1515</v>
      </c>
      <c r="K1935" s="6">
        <f t="shared" si="65"/>
        <v>0.17342236297494917</v>
      </c>
    </row>
    <row r="1936" spans="1:11" x14ac:dyDescent="0.2">
      <c r="A1936" t="s">
        <v>1481</v>
      </c>
      <c r="B1936">
        <v>2018</v>
      </c>
      <c r="C1936" t="s">
        <v>1531</v>
      </c>
      <c r="D1936" t="s">
        <v>1531</v>
      </c>
      <c r="E1936" s="7"/>
      <c r="F1936" s="7"/>
      <c r="G1936" s="7">
        <f>13185780974.4/(13185780974.4+5782031763.7+5334184718.52+2980951659.8+23706791274.67+1007718859.29+24035301163.02)</f>
        <v>0.17342236297494917</v>
      </c>
      <c r="H1936" s="7"/>
      <c r="I1936" t="s">
        <v>1512</v>
      </c>
      <c r="J1936" t="s">
        <v>1515</v>
      </c>
      <c r="K1936" s="6">
        <f t="shared" si="65"/>
        <v>0.17342236297494917</v>
      </c>
    </row>
    <row r="1937" spans="1:11" x14ac:dyDescent="0.2">
      <c r="A1937" s="9" t="s">
        <v>1481</v>
      </c>
      <c r="B1937" s="9">
        <v>2019</v>
      </c>
      <c r="C1937" s="9" t="s">
        <v>1531</v>
      </c>
      <c r="D1937" s="9" t="s">
        <v>1531</v>
      </c>
      <c r="E1937" s="10"/>
      <c r="F1937" s="10"/>
      <c r="G1937" s="10">
        <f>13185780974.4/(13185780974.4+5782031763.7+5334184718.52+2980951659.8+23706791274.67+1007718859.29+24035301163.02)</f>
        <v>0.17342236297494917</v>
      </c>
      <c r="H1937" s="10"/>
      <c r="I1937" s="9" t="s">
        <v>1512</v>
      </c>
      <c r="J1937" s="9" t="s">
        <v>1515</v>
      </c>
      <c r="K1937" s="6">
        <f t="shared" si="65"/>
        <v>0.17342236297494917</v>
      </c>
    </row>
    <row r="1938" spans="1:11" x14ac:dyDescent="0.2">
      <c r="A1938" t="s">
        <v>1481</v>
      </c>
      <c r="B1938">
        <v>2011</v>
      </c>
      <c r="C1938" t="s">
        <v>1532</v>
      </c>
      <c r="D1938" t="s">
        <v>1532</v>
      </c>
      <c r="E1938" s="7"/>
      <c r="F1938" s="7"/>
      <c r="G1938" s="7">
        <f>1525607562.22/(1525607562.22+1824652126.94+5054238619.57+260119637.7)</f>
        <v>0.17607326389371633</v>
      </c>
      <c r="H1938" s="7"/>
      <c r="I1938" t="s">
        <v>1522</v>
      </c>
      <c r="J1938" t="s">
        <v>1506</v>
      </c>
      <c r="K1938" s="6">
        <f t="shared" si="65"/>
        <v>0.17607326389371633</v>
      </c>
    </row>
    <row r="1939" spans="1:11" x14ac:dyDescent="0.2">
      <c r="A1939" t="s">
        <v>1481</v>
      </c>
      <c r="B1939">
        <v>2013</v>
      </c>
      <c r="C1939" t="s">
        <v>1481</v>
      </c>
      <c r="D1939" t="s">
        <v>1532</v>
      </c>
      <c r="E1939" s="7"/>
      <c r="F1939" s="7"/>
      <c r="G1939" s="7">
        <f>3045930897.75/(3045930897.75+1468086995.59+9643901319.03+898349692.27+45631097.09)</f>
        <v>0.20169189952264766</v>
      </c>
      <c r="H1939" s="7"/>
      <c r="I1939" t="s">
        <v>1523</v>
      </c>
      <c r="J1939" t="s">
        <v>1524</v>
      </c>
      <c r="K1939" s="6">
        <f t="shared" si="65"/>
        <v>0.20169189952264766</v>
      </c>
    </row>
    <row r="1940" spans="1:11" x14ac:dyDescent="0.2">
      <c r="A1940" t="s">
        <v>1481</v>
      </c>
      <c r="B1940">
        <v>2015</v>
      </c>
      <c r="C1940" t="s">
        <v>1532</v>
      </c>
      <c r="D1940" t="s">
        <v>1532</v>
      </c>
      <c r="E1940" s="7"/>
      <c r="F1940" s="7"/>
      <c r="G1940" s="7">
        <f>2523025630.64/(2523025630.64+595846147.63+5287019916.74+2863504621.49+1853871261.31+3710508117.16+16084449558.93)</f>
        <v>7.6645250804980233E-2</v>
      </c>
      <c r="H1940" s="7"/>
      <c r="I1940" t="s">
        <v>1527</v>
      </c>
      <c r="J1940" t="s">
        <v>1511</v>
      </c>
      <c r="K1940" s="6">
        <f t="shared" si="65"/>
        <v>7.6645250804980233E-2</v>
      </c>
    </row>
    <row r="1941" spans="1:11" x14ac:dyDescent="0.2">
      <c r="A1941" t="s">
        <v>1481</v>
      </c>
      <c r="B1941">
        <v>2016</v>
      </c>
      <c r="C1941" t="s">
        <v>1532</v>
      </c>
      <c r="D1941" t="s">
        <v>1532</v>
      </c>
      <c r="E1941" s="7"/>
      <c r="F1941" s="7"/>
      <c r="G1941" s="7">
        <f>12627835058.83/(12627835058.83+4612082654.71+8190076391.65+855614499.53+2758509891.36+10980395765.36+32335388119.35)</f>
        <v>0.1745142633329812</v>
      </c>
      <c r="H1941" s="7"/>
      <c r="I1941" t="s">
        <v>1512</v>
      </c>
      <c r="J1941" t="s">
        <v>1513</v>
      </c>
      <c r="K1941" s="6">
        <f t="shared" si="65"/>
        <v>0.1745142633329812</v>
      </c>
    </row>
    <row r="1942" spans="1:11" x14ac:dyDescent="0.2">
      <c r="A1942" t="s">
        <v>1481</v>
      </c>
      <c r="B1942">
        <v>2017</v>
      </c>
      <c r="C1942" t="s">
        <v>1532</v>
      </c>
      <c r="D1942" t="s">
        <v>1532</v>
      </c>
      <c r="E1942" s="7"/>
      <c r="F1942" s="7"/>
      <c r="G1942" s="7">
        <f>11523632401.04/(11523632401.04+5827219909.97+9140168719.9+3513098890.31+2854719069.33+14117402323.91+956680123.65+956680123.65+28844202983.59)</f>
        <v>0.1482448011960755</v>
      </c>
      <c r="H1942" s="7"/>
      <c r="I1942" t="s">
        <v>1512</v>
      </c>
      <c r="J1942" t="s">
        <v>1514</v>
      </c>
      <c r="K1942" s="6">
        <f t="shared" si="65"/>
        <v>0.1482448011960755</v>
      </c>
    </row>
    <row r="1943" spans="1:11" x14ac:dyDescent="0.2">
      <c r="A1943" s="8" t="s">
        <v>1481</v>
      </c>
      <c r="B1943">
        <v>2018</v>
      </c>
      <c r="C1943" s="8" t="s">
        <v>1481</v>
      </c>
      <c r="D1943" t="s">
        <v>1532</v>
      </c>
      <c r="E1943" s="7"/>
      <c r="F1943" s="7"/>
      <c r="G1943" s="7">
        <f>13185780974.4/(13185780974.4+5782031763.7+5334184718.52+2980951659.8+23706791274.67+1007718859.29+24035301163.02)</f>
        <v>0.17342236297494917</v>
      </c>
      <c r="H1943" s="7"/>
      <c r="I1943" t="s">
        <v>1512</v>
      </c>
      <c r="J1943" t="s">
        <v>1515</v>
      </c>
      <c r="K1943" s="6">
        <f t="shared" si="65"/>
        <v>0.17342236297494917</v>
      </c>
    </row>
    <row r="1944" spans="1:11" x14ac:dyDescent="0.2">
      <c r="A1944" t="s">
        <v>1481</v>
      </c>
      <c r="B1944">
        <v>2018</v>
      </c>
      <c r="C1944" s="8" t="s">
        <v>1481</v>
      </c>
      <c r="D1944" t="s">
        <v>1532</v>
      </c>
      <c r="E1944" s="7"/>
      <c r="F1944" s="7"/>
      <c r="G1944" s="7">
        <f>13185780974.4/(13185780974.4+5782031763.7+5334184718.52+2980951659.8+23706791274.67+1007718859.29+24035301163.02)</f>
        <v>0.17342236297494917</v>
      </c>
      <c r="H1944" s="7"/>
      <c r="I1944" t="s">
        <v>1512</v>
      </c>
      <c r="J1944" t="s">
        <v>1515</v>
      </c>
      <c r="K1944" s="6">
        <f t="shared" si="65"/>
        <v>0.17342236297494917</v>
      </c>
    </row>
    <row r="1945" spans="1:11" x14ac:dyDescent="0.2">
      <c r="A1945" t="s">
        <v>1481</v>
      </c>
      <c r="B1945">
        <v>2018</v>
      </c>
      <c r="C1945" t="s">
        <v>1532</v>
      </c>
      <c r="D1945" t="s">
        <v>1532</v>
      </c>
      <c r="E1945" s="7"/>
      <c r="F1945" s="7"/>
      <c r="G1945" s="7">
        <f>13185780974.4/(13185780974.4+5782031763.7+5334184718.52+2980951659.8+23706791274.67+1007718859.29+24035301163.02)</f>
        <v>0.17342236297494917</v>
      </c>
      <c r="H1945" s="7"/>
      <c r="I1945" t="s">
        <v>1512</v>
      </c>
      <c r="J1945" t="s">
        <v>1515</v>
      </c>
      <c r="K1945" s="6">
        <f t="shared" si="65"/>
        <v>0.17342236297494917</v>
      </c>
    </row>
    <row r="1946" spans="1:11" x14ac:dyDescent="0.2">
      <c r="A1946" s="9" t="s">
        <v>1481</v>
      </c>
      <c r="B1946" s="9">
        <v>2019</v>
      </c>
      <c r="C1946" s="9" t="s">
        <v>1532</v>
      </c>
      <c r="D1946" s="9" t="s">
        <v>1532</v>
      </c>
      <c r="E1946" s="10"/>
      <c r="F1946" s="10"/>
      <c r="G1946" s="10">
        <f>13185780974.4/(13185780974.4+5782031763.7+5334184718.52+2980951659.8+23706791274.67+1007718859.29+24035301163.02)</f>
        <v>0.17342236297494917</v>
      </c>
      <c r="H1946" s="10"/>
      <c r="I1946" s="9" t="s">
        <v>1512</v>
      </c>
      <c r="J1946" s="9" t="s">
        <v>1515</v>
      </c>
      <c r="K1946" s="6">
        <f t="shared" si="65"/>
        <v>0.17342236297494917</v>
      </c>
    </row>
    <row r="1947" spans="1:11" x14ac:dyDescent="0.2">
      <c r="A1947" s="8" t="s">
        <v>1481</v>
      </c>
      <c r="B1947">
        <v>2017</v>
      </c>
      <c r="C1947" s="8" t="s">
        <v>1481</v>
      </c>
      <c r="D1947" t="s">
        <v>1533</v>
      </c>
      <c r="E1947" s="7"/>
      <c r="F1947" s="7"/>
      <c r="G1947" s="7">
        <f>11523632401.04/(11523632401.04+5827219909.97+9140168719.9+3513098890.31+2854719069.33+14117402323.91+956680123.65+956680123.65+28844202983.59)</f>
        <v>0.1482448011960755</v>
      </c>
      <c r="H1947" s="7"/>
      <c r="I1947" t="s">
        <v>1512</v>
      </c>
      <c r="J1947" t="s">
        <v>1514</v>
      </c>
      <c r="K1947" s="6">
        <f t="shared" si="65"/>
        <v>0.1482448011960755</v>
      </c>
    </row>
    <row r="1948" spans="1:11" x14ac:dyDescent="0.2">
      <c r="A1948" s="8" t="s">
        <v>1481</v>
      </c>
      <c r="B1948">
        <v>2017</v>
      </c>
      <c r="C1948" s="8" t="s">
        <v>1481</v>
      </c>
      <c r="D1948" t="s">
        <v>1534</v>
      </c>
      <c r="E1948" s="7"/>
      <c r="F1948" s="7"/>
      <c r="G1948" s="7">
        <f>11523632401.04/(11523632401.04+5827219909.97+9140168719.9+3513098890.31+2854719069.33+14117402323.91+956680123.65+956680123.65+28844202983.59)</f>
        <v>0.1482448011960755</v>
      </c>
      <c r="H1948" s="7"/>
      <c r="I1948" t="s">
        <v>1512</v>
      </c>
      <c r="J1948" t="s">
        <v>1514</v>
      </c>
      <c r="K1948" s="6">
        <f t="shared" si="65"/>
        <v>0.1482448011960755</v>
      </c>
    </row>
    <row r="1949" spans="1:11" x14ac:dyDescent="0.2">
      <c r="A1949" s="8" t="s">
        <v>1481</v>
      </c>
      <c r="B1949">
        <v>2018</v>
      </c>
      <c r="C1949" s="8" t="s">
        <v>1481</v>
      </c>
      <c r="D1949" t="s">
        <v>1534</v>
      </c>
      <c r="E1949" s="7"/>
      <c r="F1949" s="7"/>
      <c r="G1949" s="7">
        <f>13185780974.4/(13185780974.4+5782031763.7+5334184718.52+2980951659.8+23706791274.67+1007718859.29+24035301163.02)</f>
        <v>0.17342236297494917</v>
      </c>
      <c r="H1949" s="7"/>
      <c r="I1949" t="s">
        <v>1512</v>
      </c>
      <c r="J1949" t="s">
        <v>1515</v>
      </c>
      <c r="K1949" s="6">
        <f t="shared" si="65"/>
        <v>0.17342236297494917</v>
      </c>
    </row>
    <row r="1950" spans="1:11" x14ac:dyDescent="0.2">
      <c r="A1950" t="s">
        <v>1481</v>
      </c>
      <c r="B1950">
        <v>2018</v>
      </c>
      <c r="C1950" s="8" t="s">
        <v>1481</v>
      </c>
      <c r="D1950" t="s">
        <v>1534</v>
      </c>
      <c r="E1950" s="7"/>
      <c r="F1950" s="7"/>
      <c r="G1950" s="7">
        <f>13185780974.4/(13185780974.4+5782031763.7+5334184718.52+2980951659.8+23706791274.67+1007718859.29+24035301163.02)</f>
        <v>0.17342236297494917</v>
      </c>
      <c r="H1950" s="7"/>
      <c r="I1950" t="s">
        <v>1512</v>
      </c>
      <c r="J1950" t="s">
        <v>1515</v>
      </c>
      <c r="K1950" s="6">
        <f t="shared" si="65"/>
        <v>0.17342236297494917</v>
      </c>
    </row>
    <row r="1951" spans="1:11" x14ac:dyDescent="0.2">
      <c r="A1951" t="s">
        <v>1481</v>
      </c>
      <c r="B1951">
        <v>2018</v>
      </c>
      <c r="C1951" t="s">
        <v>1534</v>
      </c>
      <c r="D1951" t="s">
        <v>1534</v>
      </c>
      <c r="E1951" s="7"/>
      <c r="F1951" s="7"/>
      <c r="G1951" s="7">
        <f>13185780974.4/(13185780974.4+5782031763.7+5334184718.52+2980951659.8+23706791274.67+1007718859.29+24035301163.02)</f>
        <v>0.17342236297494917</v>
      </c>
      <c r="H1951" s="7"/>
      <c r="I1951" t="s">
        <v>1512</v>
      </c>
      <c r="J1951" t="s">
        <v>1515</v>
      </c>
      <c r="K1951" s="6">
        <f t="shared" si="65"/>
        <v>0.17342236297494917</v>
      </c>
    </row>
    <row r="1952" spans="1:11" x14ac:dyDescent="0.2">
      <c r="A1952" s="9" t="s">
        <v>1481</v>
      </c>
      <c r="B1952" s="9">
        <v>2019</v>
      </c>
      <c r="C1952" s="9" t="s">
        <v>1534</v>
      </c>
      <c r="D1952" s="9" t="s">
        <v>1534</v>
      </c>
      <c r="E1952" s="10"/>
      <c r="F1952" s="10"/>
      <c r="G1952" s="10">
        <f>13185780974.4/(13185780974.4+5782031763.7+5334184718.52+2980951659.8+23706791274.67+1007718859.29+24035301163.02)</f>
        <v>0.17342236297494917</v>
      </c>
      <c r="H1952" s="10"/>
      <c r="I1952" s="9" t="s">
        <v>1512</v>
      </c>
      <c r="J1952" s="9" t="s">
        <v>1515</v>
      </c>
      <c r="K1952" s="6">
        <f t="shared" si="65"/>
        <v>0.17342236297494917</v>
      </c>
    </row>
    <row r="1953" spans="1:11" x14ac:dyDescent="0.2">
      <c r="A1953" s="8" t="s">
        <v>1481</v>
      </c>
      <c r="B1953">
        <v>2016</v>
      </c>
      <c r="C1953" s="8" t="s">
        <v>1481</v>
      </c>
      <c r="D1953" t="s">
        <v>1535</v>
      </c>
      <c r="E1953" s="7"/>
      <c r="F1953" s="7"/>
      <c r="G1953" s="7">
        <f>12627835058.83/(12627835058.83+4612082654.71+8190076391.65+855614499.53+2758509891.36+10980395765.36+32335388119.35)</f>
        <v>0.1745142633329812</v>
      </c>
      <c r="H1953" s="7"/>
      <c r="I1953" t="s">
        <v>1512</v>
      </c>
      <c r="J1953" t="s">
        <v>1513</v>
      </c>
      <c r="K1953" s="6">
        <f t="shared" si="65"/>
        <v>0.1745142633329812</v>
      </c>
    </row>
    <row r="1954" spans="1:11" x14ac:dyDescent="0.2">
      <c r="A1954" s="9" t="s">
        <v>1481</v>
      </c>
      <c r="B1954" s="9">
        <v>2019</v>
      </c>
      <c r="C1954" s="9" t="s">
        <v>327</v>
      </c>
      <c r="D1954" s="9" t="s">
        <v>1535</v>
      </c>
      <c r="E1954" s="10"/>
      <c r="F1954" s="10"/>
      <c r="G1954" s="10">
        <f>13185780974.4/(13185780974.4+5782031763.7+5334184718.52+2980951659.8+23706791274.67+1007718859.29+24035301163.02)</f>
        <v>0.17342236297494917</v>
      </c>
      <c r="H1954" s="10"/>
      <c r="I1954" s="9" t="s">
        <v>1512</v>
      </c>
      <c r="J1954" s="9" t="s">
        <v>1515</v>
      </c>
      <c r="K1954" s="6">
        <f t="shared" si="65"/>
        <v>0.17342236297494917</v>
      </c>
    </row>
    <row r="1955" spans="1:11" x14ac:dyDescent="0.2">
      <c r="A1955" s="9" t="s">
        <v>1481</v>
      </c>
      <c r="B1955" s="9">
        <v>2019</v>
      </c>
      <c r="C1955" s="9" t="s">
        <v>1536</v>
      </c>
      <c r="D1955" s="9" t="s">
        <v>1536</v>
      </c>
      <c r="E1955" s="10"/>
      <c r="F1955" s="10"/>
      <c r="G1955" s="10">
        <f>13185780974.4/(13185780974.4+5782031763.7+5334184718.52+2980951659.8+23706791274.67+1007718859.29+24035301163.02)</f>
        <v>0.17342236297494917</v>
      </c>
      <c r="H1955" s="10"/>
      <c r="I1955" s="9" t="s">
        <v>1512</v>
      </c>
      <c r="J1955" s="9" t="s">
        <v>1515</v>
      </c>
      <c r="K1955" s="6">
        <f t="shared" si="65"/>
        <v>0.17342236297494917</v>
      </c>
    </row>
    <row r="1956" spans="1:11" x14ac:dyDescent="0.2">
      <c r="A1956" s="9" t="s">
        <v>1481</v>
      </c>
      <c r="B1956" s="9">
        <v>2019</v>
      </c>
      <c r="C1956" s="9" t="s">
        <v>1536</v>
      </c>
      <c r="D1956" s="9" t="s">
        <v>1536</v>
      </c>
      <c r="E1956" s="10"/>
      <c r="F1956" s="10"/>
      <c r="G1956" s="10">
        <f>13185780974.4/(13185780974.4+5782031763.7+5334184718.52+2980951659.8+23706791274.67+1007718859.29+24035301163.02)</f>
        <v>0.17342236297494917</v>
      </c>
      <c r="H1956" s="10"/>
      <c r="I1956" s="9" t="s">
        <v>1512</v>
      </c>
      <c r="J1956" s="9" t="s">
        <v>1515</v>
      </c>
      <c r="K1956" s="6">
        <f t="shared" si="65"/>
        <v>0.17342236297494917</v>
      </c>
    </row>
    <row r="1957" spans="1:11" x14ac:dyDescent="0.2">
      <c r="A1957" s="8" t="s">
        <v>1481</v>
      </c>
      <c r="B1957">
        <v>2016</v>
      </c>
      <c r="C1957" s="8" t="s">
        <v>1481</v>
      </c>
      <c r="D1957" t="s">
        <v>1537</v>
      </c>
      <c r="E1957" s="7"/>
      <c r="F1957" s="7"/>
      <c r="G1957" s="7">
        <f>12627835058.83/(12627835058.83+4612082654.71+8190076391.65+855614499.53+2758509891.36+10980395765.36+32335388119.35)</f>
        <v>0.1745142633329812</v>
      </c>
      <c r="H1957" s="7"/>
      <c r="I1957" t="s">
        <v>1512</v>
      </c>
      <c r="J1957" t="s">
        <v>1513</v>
      </c>
      <c r="K1957" s="6">
        <f t="shared" si="65"/>
        <v>0.1745142633329812</v>
      </c>
    </row>
    <row r="1958" spans="1:11" x14ac:dyDescent="0.2">
      <c r="A1958" t="s">
        <v>1481</v>
      </c>
      <c r="B1958">
        <v>2011</v>
      </c>
      <c r="C1958" t="s">
        <v>1481</v>
      </c>
      <c r="D1958" t="s">
        <v>1538</v>
      </c>
      <c r="E1958" s="7"/>
      <c r="F1958" s="7"/>
      <c r="G1958" s="7">
        <f>1525607562.22/(1525607562.22+1824652126.94+5054238619.57+260119637.7)</f>
        <v>0.17607326389371633</v>
      </c>
      <c r="H1958" s="7"/>
      <c r="I1958" t="s">
        <v>1522</v>
      </c>
      <c r="J1958" t="s">
        <v>1506</v>
      </c>
      <c r="K1958" s="6">
        <f t="shared" si="65"/>
        <v>0.17607326389371633</v>
      </c>
    </row>
    <row r="1959" spans="1:11" x14ac:dyDescent="0.2">
      <c r="A1959" t="s">
        <v>1481</v>
      </c>
      <c r="B1959">
        <v>2014</v>
      </c>
      <c r="C1959" t="s">
        <v>1481</v>
      </c>
      <c r="D1959" t="s">
        <v>1538</v>
      </c>
      <c r="E1959" s="7"/>
      <c r="F1959" s="7"/>
      <c r="G1959" s="7">
        <f>2437292977.8/(2437292977.8+779763560.92+1393415769.91+3942708474+1190418396.4+4391898033.44+11408931491.76)</f>
        <v>9.5413876975702305E-2</v>
      </c>
      <c r="H1959" s="7"/>
      <c r="I1959" t="s">
        <v>1527</v>
      </c>
      <c r="J1959" t="s">
        <v>1510</v>
      </c>
      <c r="K1959" s="6">
        <f t="shared" si="65"/>
        <v>9.5413876975702305E-2</v>
      </c>
    </row>
    <row r="1960" spans="1:11" x14ac:dyDescent="0.2">
      <c r="A1960" t="s">
        <v>1481</v>
      </c>
      <c r="B1960">
        <v>2016</v>
      </c>
      <c r="C1960" t="s">
        <v>1481</v>
      </c>
      <c r="D1960" t="s">
        <v>1538</v>
      </c>
      <c r="E1960" s="7"/>
      <c r="F1960" s="7"/>
      <c r="G1960" s="7">
        <f>12627835058.83/(12627835058.83+4612082654.71+8190076391.65+855614499.53+2758509891.36+10980395765.36+32335388119.35)</f>
        <v>0.1745142633329812</v>
      </c>
      <c r="H1960" s="7"/>
      <c r="I1960" t="s">
        <v>1512</v>
      </c>
      <c r="J1960" t="s">
        <v>1513</v>
      </c>
      <c r="K1960" s="6">
        <f t="shared" si="65"/>
        <v>0.1745142633329812</v>
      </c>
    </row>
    <row r="1961" spans="1:11" x14ac:dyDescent="0.2">
      <c r="A1961" t="s">
        <v>1481</v>
      </c>
      <c r="B1961">
        <v>2011</v>
      </c>
      <c r="C1961" t="s">
        <v>1539</v>
      </c>
      <c r="D1961" t="s">
        <v>1539</v>
      </c>
      <c r="E1961" s="7"/>
      <c r="F1961" s="7"/>
      <c r="G1961" s="7">
        <f>1525607562.22/(1525607562.22+1824652126.94+5054238619.57+260119637.7)</f>
        <v>0.17607326389371633</v>
      </c>
      <c r="H1961" s="7"/>
      <c r="I1961" t="s">
        <v>1540</v>
      </c>
      <c r="J1961" t="s">
        <v>1506</v>
      </c>
      <c r="K1961" s="6">
        <f t="shared" si="65"/>
        <v>0.17607326389371633</v>
      </c>
    </row>
    <row r="1962" spans="1:11" x14ac:dyDescent="0.2">
      <c r="A1962" t="s">
        <v>1481</v>
      </c>
      <c r="B1962">
        <v>2014</v>
      </c>
      <c r="C1962" t="s">
        <v>1539</v>
      </c>
      <c r="D1962" t="s">
        <v>1539</v>
      </c>
      <c r="E1962" s="7"/>
      <c r="F1962" s="7"/>
      <c r="G1962" s="7">
        <f>2437292977.8/(2437292977.8+779763560.92+1393415769.91+3942708474+1190418396.4+4391898033.44+11408931491.76)</f>
        <v>9.5413876975702305E-2</v>
      </c>
      <c r="H1962" s="7"/>
      <c r="I1962" t="s">
        <v>1541</v>
      </c>
      <c r="J1962" t="s">
        <v>1510</v>
      </c>
      <c r="K1962" s="6">
        <f t="shared" si="65"/>
        <v>9.5413876975702305E-2</v>
      </c>
    </row>
    <row r="1963" spans="1:11" x14ac:dyDescent="0.2">
      <c r="A1963" t="s">
        <v>1481</v>
      </c>
      <c r="B1963">
        <v>2015</v>
      </c>
      <c r="C1963" t="s">
        <v>1539</v>
      </c>
      <c r="D1963" t="s">
        <v>1539</v>
      </c>
      <c r="E1963" s="7"/>
      <c r="F1963" s="7"/>
      <c r="G1963" s="7">
        <f>2523025630.64/(2523025630.64+595846147.63+5287019916.74+2863504621.49+1853871261.31+3710508117.16+16084449558.93)</f>
        <v>7.6645250804980233E-2</v>
      </c>
      <c r="H1963" s="7"/>
      <c r="I1963" t="s">
        <v>1541</v>
      </c>
      <c r="J1963" t="s">
        <v>1511</v>
      </c>
      <c r="K1963" s="6">
        <f t="shared" si="65"/>
        <v>7.6645250804980233E-2</v>
      </c>
    </row>
    <row r="1964" spans="1:11" x14ac:dyDescent="0.2">
      <c r="A1964" t="s">
        <v>1481</v>
      </c>
      <c r="B1964">
        <v>2016</v>
      </c>
      <c r="C1964" t="s">
        <v>1539</v>
      </c>
      <c r="D1964" t="s">
        <v>1539</v>
      </c>
      <c r="E1964" s="7"/>
      <c r="F1964" s="7"/>
      <c r="G1964" s="7">
        <f>12627835058.83/(12627835058.83+4612082654.71+8190076391.65+855614499.53+2758509891.36+10980395765.36+32335388119.35)</f>
        <v>0.1745142633329812</v>
      </c>
      <c r="H1964" s="7"/>
      <c r="I1964" t="s">
        <v>1512</v>
      </c>
      <c r="J1964" t="s">
        <v>1513</v>
      </c>
      <c r="K1964" s="6">
        <f t="shared" si="65"/>
        <v>0.1745142633329812</v>
      </c>
    </row>
    <row r="1965" spans="1:11" x14ac:dyDescent="0.2">
      <c r="A1965" s="8" t="s">
        <v>1481</v>
      </c>
      <c r="B1965">
        <v>2017</v>
      </c>
      <c r="C1965" s="8" t="s">
        <v>1481</v>
      </c>
      <c r="D1965" t="s">
        <v>1539</v>
      </c>
      <c r="E1965" s="7"/>
      <c r="F1965" s="7"/>
      <c r="G1965" s="7">
        <f>11523632401.04/(11523632401.04+5827219909.97+9140168719.9+3513098890.31+2854719069.33+14117402323.91+956680123.65+956680123.65+28844202983.59)</f>
        <v>0.1482448011960755</v>
      </c>
      <c r="H1965" s="7"/>
      <c r="I1965" t="s">
        <v>1512</v>
      </c>
      <c r="J1965" t="s">
        <v>1514</v>
      </c>
      <c r="K1965" s="6">
        <f t="shared" si="65"/>
        <v>0.1482448011960755</v>
      </c>
    </row>
    <row r="1966" spans="1:11" x14ac:dyDescent="0.2">
      <c r="A1966" s="8" t="s">
        <v>1481</v>
      </c>
      <c r="B1966">
        <v>2018</v>
      </c>
      <c r="C1966" s="8" t="s">
        <v>1481</v>
      </c>
      <c r="D1966" t="s">
        <v>1539</v>
      </c>
      <c r="E1966" s="7"/>
      <c r="F1966" s="7"/>
      <c r="G1966" s="7">
        <f>13185780974.4/(13185780974.4+5782031763.7+5334184718.52+2980951659.8+23706791274.67+1007718859.29+24035301163.02)</f>
        <v>0.17342236297494917</v>
      </c>
      <c r="H1966" s="7"/>
      <c r="I1966" t="s">
        <v>1512</v>
      </c>
      <c r="J1966" t="s">
        <v>1515</v>
      </c>
      <c r="K1966" s="6">
        <f t="shared" si="65"/>
        <v>0.17342236297494917</v>
      </c>
    </row>
    <row r="1967" spans="1:11" x14ac:dyDescent="0.2">
      <c r="A1967" t="s">
        <v>1481</v>
      </c>
      <c r="B1967">
        <v>2018</v>
      </c>
      <c r="C1967" s="8" t="s">
        <v>1481</v>
      </c>
      <c r="D1967" t="s">
        <v>1539</v>
      </c>
      <c r="E1967" s="7"/>
      <c r="F1967" s="7"/>
      <c r="G1967" s="7">
        <f>13185780974.4/(13185780974.4+5782031763.7+5334184718.52+2980951659.8+23706791274.67+1007718859.29+24035301163.02)</f>
        <v>0.17342236297494917</v>
      </c>
      <c r="H1967" s="7"/>
      <c r="I1967" t="s">
        <v>1512</v>
      </c>
      <c r="J1967" t="s">
        <v>1515</v>
      </c>
      <c r="K1967" s="6">
        <f t="shared" si="65"/>
        <v>0.17342236297494917</v>
      </c>
    </row>
    <row r="1968" spans="1:11" x14ac:dyDescent="0.2">
      <c r="A1968" t="s">
        <v>1481</v>
      </c>
      <c r="B1968">
        <v>2018</v>
      </c>
      <c r="C1968" t="s">
        <v>1542</v>
      </c>
      <c r="D1968" t="s">
        <v>1542</v>
      </c>
      <c r="E1968" s="7"/>
      <c r="F1968" s="7"/>
      <c r="G1968" s="7">
        <f>13185780974.4/(13185780974.4+5782031763.7+5334184718.52+2980951659.8+23706791274.67+1007718859.29+24035301163.02)</f>
        <v>0.17342236297494917</v>
      </c>
      <c r="H1968" s="7"/>
      <c r="I1968" t="s">
        <v>1512</v>
      </c>
      <c r="J1968" t="s">
        <v>1515</v>
      </c>
      <c r="K1968" s="6">
        <f t="shared" si="65"/>
        <v>0.17342236297494917</v>
      </c>
    </row>
    <row r="1969" spans="1:11" x14ac:dyDescent="0.2">
      <c r="A1969" s="9" t="s">
        <v>1481</v>
      </c>
      <c r="B1969" s="9">
        <v>2019</v>
      </c>
      <c r="C1969" s="9" t="s">
        <v>1542</v>
      </c>
      <c r="D1969" s="9" t="s">
        <v>1542</v>
      </c>
      <c r="E1969" s="10"/>
      <c r="F1969" s="10"/>
      <c r="G1969" s="10">
        <f>13185780974.4/(13185780974.4+5782031763.7+5334184718.52+2980951659.8+23706791274.67+1007718859.29+24035301163.02)</f>
        <v>0.17342236297494917</v>
      </c>
      <c r="H1969" s="10"/>
      <c r="I1969" s="9" t="s">
        <v>1512</v>
      </c>
      <c r="J1969" s="9" t="s">
        <v>1515</v>
      </c>
      <c r="K1969" s="6">
        <f t="shared" si="65"/>
        <v>0.17342236297494917</v>
      </c>
    </row>
    <row r="1970" spans="1:11" x14ac:dyDescent="0.2">
      <c r="A1970" s="8" t="s">
        <v>1481</v>
      </c>
      <c r="B1970">
        <v>2016</v>
      </c>
      <c r="C1970" s="8" t="s">
        <v>1481</v>
      </c>
      <c r="D1970" t="s">
        <v>1543</v>
      </c>
      <c r="E1970" s="7"/>
      <c r="F1970" s="7"/>
      <c r="G1970" s="7">
        <f>12627835058.83/(12627835058.83+4612082654.71+8190076391.65+855614499.53+2758509891.36+10980395765.36+32335388119.35)</f>
        <v>0.1745142633329812</v>
      </c>
      <c r="H1970" s="7"/>
      <c r="I1970" t="s">
        <v>1512</v>
      </c>
      <c r="J1970" t="s">
        <v>1513</v>
      </c>
      <c r="K1970" s="6">
        <f t="shared" si="65"/>
        <v>0.1745142633329812</v>
      </c>
    </row>
    <row r="1971" spans="1:11" x14ac:dyDescent="0.2">
      <c r="A1971" s="8" t="s">
        <v>1481</v>
      </c>
      <c r="B1971">
        <v>2017</v>
      </c>
      <c r="C1971" s="8" t="s">
        <v>1481</v>
      </c>
      <c r="D1971" t="s">
        <v>1543</v>
      </c>
      <c r="E1971" s="7"/>
      <c r="F1971" s="7"/>
      <c r="G1971" s="7">
        <f>11523632401.04/(11523632401.04+5827219909.97+9140168719.9+3513098890.31+2854719069.33+14117402323.91+956680123.65+956680123.65+28844202983.59)</f>
        <v>0.1482448011960755</v>
      </c>
      <c r="H1971" s="7"/>
      <c r="I1971" t="s">
        <v>1512</v>
      </c>
      <c r="J1971" t="s">
        <v>1514</v>
      </c>
      <c r="K1971" s="6">
        <f t="shared" si="65"/>
        <v>0.1482448011960755</v>
      </c>
    </row>
    <row r="1972" spans="1:11" x14ac:dyDescent="0.2">
      <c r="A1972" s="8" t="s">
        <v>1481</v>
      </c>
      <c r="B1972">
        <v>2018</v>
      </c>
      <c r="C1972" s="8" t="s">
        <v>1481</v>
      </c>
      <c r="D1972" t="s">
        <v>1543</v>
      </c>
      <c r="E1972" s="7"/>
      <c r="F1972" s="7"/>
      <c r="G1972" s="7">
        <f>13185780974.4/(13185780974.4+5782031763.7+5334184718.52+2980951659.8+23706791274.67+1007718859.29+24035301163.02)</f>
        <v>0.17342236297494917</v>
      </c>
      <c r="H1972" s="7"/>
      <c r="I1972" t="s">
        <v>1512</v>
      </c>
      <c r="J1972" t="s">
        <v>1515</v>
      </c>
      <c r="K1972" s="6">
        <f t="shared" si="65"/>
        <v>0.17342236297494917</v>
      </c>
    </row>
    <row r="1973" spans="1:11" x14ac:dyDescent="0.2">
      <c r="A1973" t="s">
        <v>1481</v>
      </c>
      <c r="B1973">
        <v>2018</v>
      </c>
      <c r="C1973" s="8" t="s">
        <v>1481</v>
      </c>
      <c r="D1973" t="s">
        <v>1543</v>
      </c>
      <c r="E1973" s="7"/>
      <c r="F1973" s="7"/>
      <c r="G1973" s="7">
        <f>13185780974.4/(13185780974.4+5782031763.7+5334184718.52+2980951659.8+23706791274.67+1007718859.29+24035301163.02)</f>
        <v>0.17342236297494917</v>
      </c>
      <c r="H1973" s="7"/>
      <c r="I1973" t="s">
        <v>1512</v>
      </c>
      <c r="J1973" t="s">
        <v>1515</v>
      </c>
      <c r="K1973" s="6">
        <f t="shared" si="65"/>
        <v>0.17342236297494917</v>
      </c>
    </row>
    <row r="1974" spans="1:11" x14ac:dyDescent="0.2">
      <c r="A1974" t="s">
        <v>1481</v>
      </c>
      <c r="B1974">
        <v>2010</v>
      </c>
      <c r="C1974" t="s">
        <v>1544</v>
      </c>
      <c r="D1974" t="s">
        <v>1544</v>
      </c>
      <c r="E1974" s="7"/>
      <c r="F1974" s="7"/>
      <c r="G1974" s="7">
        <f>1030445191.85/(1030445191.85+2320381803.13+1364029278.76+354665414.92)</f>
        <v>0.20326280369901567</v>
      </c>
      <c r="H1974" s="7"/>
      <c r="I1974" t="s">
        <v>1545</v>
      </c>
      <c r="J1974" t="s">
        <v>1484</v>
      </c>
      <c r="K1974" s="6">
        <f t="shared" si="65"/>
        <v>0.20326280369901567</v>
      </c>
    </row>
    <row r="1975" spans="1:11" x14ac:dyDescent="0.2">
      <c r="A1975" t="s">
        <v>1481</v>
      </c>
      <c r="B1975">
        <v>2013</v>
      </c>
      <c r="C1975" t="s">
        <v>1546</v>
      </c>
      <c r="D1975" t="s">
        <v>1546</v>
      </c>
      <c r="E1975" s="7"/>
      <c r="F1975" s="7"/>
      <c r="G1975" s="7">
        <f>3045930897.75/(3045930897.75+1468086995.59+9643901319.03+898349692.27+45631097.09)</f>
        <v>0.20169189952264766</v>
      </c>
      <c r="H1975" s="7"/>
      <c r="I1975" t="s">
        <v>1547</v>
      </c>
      <c r="J1975" t="s">
        <v>1524</v>
      </c>
      <c r="K1975" s="6">
        <f t="shared" si="65"/>
        <v>0.20169189952264766</v>
      </c>
    </row>
    <row r="1976" spans="1:11" x14ac:dyDescent="0.2">
      <c r="A1976" t="s">
        <v>1481</v>
      </c>
      <c r="B1976">
        <v>2015</v>
      </c>
      <c r="C1976" t="s">
        <v>1546</v>
      </c>
      <c r="D1976" t="s">
        <v>1546</v>
      </c>
      <c r="E1976" s="7"/>
      <c r="F1976" s="7"/>
      <c r="G1976" s="7">
        <f>2523025630.64/(2523025630.64+595846147.63+5287019916.74+2863504621.49+1853871261.31+3710508117.16+16084449558.93)</f>
        <v>7.6645250804980233E-2</v>
      </c>
      <c r="H1976" s="7"/>
      <c r="I1976" t="s">
        <v>1548</v>
      </c>
      <c r="J1976" t="s">
        <v>1511</v>
      </c>
      <c r="K1976" s="6">
        <f t="shared" si="65"/>
        <v>7.6645250804980233E-2</v>
      </c>
    </row>
    <row r="1977" spans="1:11" x14ac:dyDescent="0.2">
      <c r="A1977" t="s">
        <v>1481</v>
      </c>
      <c r="B1977">
        <v>2016</v>
      </c>
      <c r="C1977" t="s">
        <v>1546</v>
      </c>
      <c r="D1977" t="s">
        <v>1546</v>
      </c>
      <c r="E1977" s="7"/>
      <c r="F1977" s="7"/>
      <c r="G1977" s="7">
        <f>12627835058.83/(12627835058.83+4612082654.71+8190076391.65+855614499.53+2758509891.36+10980395765.36+32335388119.35)</f>
        <v>0.1745142633329812</v>
      </c>
      <c r="H1977" s="7"/>
      <c r="I1977" t="s">
        <v>1512</v>
      </c>
      <c r="J1977" t="s">
        <v>1513</v>
      </c>
      <c r="K1977" s="6">
        <f t="shared" si="65"/>
        <v>0.1745142633329812</v>
      </c>
    </row>
    <row r="1978" spans="1:11" x14ac:dyDescent="0.2">
      <c r="A1978" s="8" t="s">
        <v>1481</v>
      </c>
      <c r="B1978">
        <v>2017</v>
      </c>
      <c r="C1978" s="8" t="s">
        <v>1481</v>
      </c>
      <c r="D1978" t="s">
        <v>1546</v>
      </c>
      <c r="E1978" s="7"/>
      <c r="F1978" s="7"/>
      <c r="G1978" s="7">
        <f>11523632401.04/(11523632401.04+5827219909.97+9140168719.9+3513098890.31+2854719069.33+14117402323.91+956680123.65+956680123.65+28844202983.59)</f>
        <v>0.1482448011960755</v>
      </c>
      <c r="H1978" s="7"/>
      <c r="I1978" t="s">
        <v>1512</v>
      </c>
      <c r="J1978" t="s">
        <v>1514</v>
      </c>
      <c r="K1978" s="6">
        <f t="shared" si="65"/>
        <v>0.1482448011960755</v>
      </c>
    </row>
    <row r="1979" spans="1:11" x14ac:dyDescent="0.2">
      <c r="A1979" s="8" t="s">
        <v>1481</v>
      </c>
      <c r="B1979">
        <v>2018</v>
      </c>
      <c r="C1979" s="8" t="s">
        <v>1481</v>
      </c>
      <c r="D1979" t="s">
        <v>1546</v>
      </c>
      <c r="E1979" s="7"/>
      <c r="F1979" s="7"/>
      <c r="G1979" s="7">
        <f>13185780974.4/(13185780974.4+5782031763.7+5334184718.52+2980951659.8+23706791274.67+1007718859.29+24035301163.02)</f>
        <v>0.17342236297494917</v>
      </c>
      <c r="H1979" s="7"/>
      <c r="I1979" t="s">
        <v>1512</v>
      </c>
      <c r="J1979" t="s">
        <v>1515</v>
      </c>
      <c r="K1979" s="6">
        <f t="shared" si="65"/>
        <v>0.17342236297494917</v>
      </c>
    </row>
    <row r="1980" spans="1:11" x14ac:dyDescent="0.2">
      <c r="A1980" t="s">
        <v>1481</v>
      </c>
      <c r="B1980">
        <v>2018</v>
      </c>
      <c r="C1980" s="8" t="s">
        <v>1481</v>
      </c>
      <c r="D1980" t="s">
        <v>1546</v>
      </c>
      <c r="E1980" s="7"/>
      <c r="F1980" s="7"/>
      <c r="G1980" s="7">
        <f>13185780974.4/(13185780974.4+5782031763.7+5334184718.52+2980951659.8+23706791274.67+1007718859.29+24035301163.02)</f>
        <v>0.17342236297494917</v>
      </c>
      <c r="H1980" s="7"/>
      <c r="I1980" t="s">
        <v>1512</v>
      </c>
      <c r="J1980" t="s">
        <v>1515</v>
      </c>
      <c r="K1980" s="6">
        <f t="shared" si="65"/>
        <v>0.17342236297494917</v>
      </c>
    </row>
    <row r="1981" spans="1:11" x14ac:dyDescent="0.2">
      <c r="A1981" t="s">
        <v>1481</v>
      </c>
      <c r="B1981">
        <v>2018</v>
      </c>
      <c r="C1981" t="s">
        <v>1546</v>
      </c>
      <c r="D1981" t="s">
        <v>1546</v>
      </c>
      <c r="E1981" s="7"/>
      <c r="F1981" s="7"/>
      <c r="G1981" s="7">
        <f>13185780974.4/(13185780974.4+5782031763.7+5334184718.52+2980951659.8+23706791274.67+1007718859.29+24035301163.02)</f>
        <v>0.17342236297494917</v>
      </c>
      <c r="H1981" s="7"/>
      <c r="I1981" t="s">
        <v>1512</v>
      </c>
      <c r="J1981" t="s">
        <v>1515</v>
      </c>
      <c r="K1981" s="6">
        <f t="shared" si="65"/>
        <v>0.17342236297494917</v>
      </c>
    </row>
    <row r="1982" spans="1:11" x14ac:dyDescent="0.2">
      <c r="A1982" s="9" t="s">
        <v>1481</v>
      </c>
      <c r="B1982" s="9">
        <v>2019</v>
      </c>
      <c r="C1982" s="9" t="s">
        <v>1546</v>
      </c>
      <c r="D1982" s="9" t="s">
        <v>1546</v>
      </c>
      <c r="E1982" s="10"/>
      <c r="F1982" s="10"/>
      <c r="G1982" s="10">
        <f>13185780974.4/(13185780974.4+5782031763.7+5334184718.52+2980951659.8+23706791274.67+1007718859.29+24035301163.02)</f>
        <v>0.17342236297494917</v>
      </c>
      <c r="H1982" s="10"/>
      <c r="I1982" s="9" t="s">
        <v>1512</v>
      </c>
      <c r="J1982" s="9" t="s">
        <v>1515</v>
      </c>
      <c r="K1982" s="6">
        <f t="shared" si="65"/>
        <v>0.17342236297494917</v>
      </c>
    </row>
    <row r="1983" spans="1:11" x14ac:dyDescent="0.2">
      <c r="A1983" t="s">
        <v>1549</v>
      </c>
      <c r="B1983">
        <v>2015</v>
      </c>
      <c r="C1983" t="s">
        <v>1550</v>
      </c>
      <c r="D1983" t="s">
        <v>1550</v>
      </c>
      <c r="E1983" s="5">
        <f>186001/225935</f>
        <v>0.82325004979308203</v>
      </c>
      <c r="G1983" s="5">
        <f>15758/225935</f>
        <v>6.9745723327505699E-2</v>
      </c>
      <c r="I1983" t="s">
        <v>1551</v>
      </c>
      <c r="J1983" t="s">
        <v>1552</v>
      </c>
      <c r="K1983" s="6">
        <f t="shared" si="65"/>
        <v>0.89299577312058775</v>
      </c>
    </row>
    <row r="1984" spans="1:11" x14ac:dyDescent="0.2">
      <c r="A1984" t="s">
        <v>1549</v>
      </c>
      <c r="B1984">
        <v>2016</v>
      </c>
      <c r="C1984" t="s">
        <v>1550</v>
      </c>
      <c r="D1984" t="s">
        <v>1550</v>
      </c>
      <c r="E1984" s="5">
        <f>228509/266962</f>
        <v>0.85596077344341137</v>
      </c>
      <c r="G1984" s="5">
        <f>14367/266962</f>
        <v>5.3816648062271037E-2</v>
      </c>
      <c r="I1984" t="s">
        <v>1551</v>
      </c>
      <c r="J1984" t="s">
        <v>1552</v>
      </c>
      <c r="K1984" s="6">
        <f t="shared" si="65"/>
        <v>0.90977742150568242</v>
      </c>
    </row>
    <row r="1985" spans="1:11" x14ac:dyDescent="0.2">
      <c r="A1985" t="s">
        <v>1549</v>
      </c>
      <c r="B1985">
        <v>2017</v>
      </c>
      <c r="C1985" t="s">
        <v>1550</v>
      </c>
      <c r="D1985" t="s">
        <v>1550</v>
      </c>
      <c r="E1985" s="11">
        <f>228509/266962</f>
        <v>0.85596077344341137</v>
      </c>
      <c r="G1985" s="11">
        <f>14367/266962</f>
        <v>5.3816648062271037E-2</v>
      </c>
      <c r="I1985" t="s">
        <v>1551</v>
      </c>
      <c r="J1985" t="s">
        <v>1553</v>
      </c>
      <c r="K1985" s="6">
        <f t="shared" si="65"/>
        <v>0.90977742150568242</v>
      </c>
    </row>
    <row r="1986" spans="1:11" x14ac:dyDescent="0.2">
      <c r="A1986" s="14" t="s">
        <v>1549</v>
      </c>
      <c r="B1986" s="9">
        <v>2018</v>
      </c>
      <c r="C1986" s="14" t="s">
        <v>1549</v>
      </c>
      <c r="D1986" s="9" t="s">
        <v>1550</v>
      </c>
      <c r="E1986" s="13">
        <f>240057/275270</f>
        <v>0.87207832310095545</v>
      </c>
      <c r="F1986" s="10"/>
      <c r="G1986" s="13">
        <f>11699/275270</f>
        <v>4.2500090819922259E-2</v>
      </c>
      <c r="H1986" s="10"/>
      <c r="I1986" s="9" t="s">
        <v>1551</v>
      </c>
      <c r="J1986" s="9" t="s">
        <v>1554</v>
      </c>
      <c r="K1986" s="6">
        <f t="shared" ref="K1986:K1999" si="66">SUM(E1986:H1986)</f>
        <v>0.91457841392087769</v>
      </c>
    </row>
    <row r="1987" spans="1:11" x14ac:dyDescent="0.2">
      <c r="A1987" s="9" t="s">
        <v>1549</v>
      </c>
      <c r="B1987" s="9">
        <v>2018</v>
      </c>
      <c r="C1987" s="14" t="s">
        <v>1549</v>
      </c>
      <c r="D1987" s="9" t="s">
        <v>1550</v>
      </c>
      <c r="E1987" s="13">
        <f>240057/275270</f>
        <v>0.87207832310095545</v>
      </c>
      <c r="F1987" s="10"/>
      <c r="G1987" s="13">
        <f>11699/275270</f>
        <v>4.2500090819922259E-2</v>
      </c>
      <c r="H1987" s="10"/>
      <c r="I1987" s="9" t="s">
        <v>1551</v>
      </c>
      <c r="J1987" s="9" t="s">
        <v>1554</v>
      </c>
      <c r="K1987" s="6">
        <f t="shared" si="66"/>
        <v>0.91457841392087769</v>
      </c>
    </row>
    <row r="1988" spans="1:11" x14ac:dyDescent="0.2">
      <c r="A1988" s="9" t="s">
        <v>1549</v>
      </c>
      <c r="B1988" s="9">
        <v>2018</v>
      </c>
      <c r="C1988" s="9" t="s">
        <v>1550</v>
      </c>
      <c r="D1988" s="9" t="s">
        <v>1550</v>
      </c>
      <c r="E1988" s="13">
        <f>240057/275270</f>
        <v>0.87207832310095545</v>
      </c>
      <c r="F1988" s="10"/>
      <c r="G1988" s="13">
        <f>11699/275270</f>
        <v>4.2500090819922259E-2</v>
      </c>
      <c r="H1988" s="10"/>
      <c r="I1988" s="9" t="s">
        <v>1551</v>
      </c>
      <c r="J1988" s="9" t="s">
        <v>1554</v>
      </c>
      <c r="K1988" s="6">
        <f t="shared" si="66"/>
        <v>0.91457841392087769</v>
      </c>
    </row>
    <row r="1989" spans="1:11" x14ac:dyDescent="0.2">
      <c r="A1989" t="s">
        <v>1549</v>
      </c>
      <c r="B1989">
        <v>2019</v>
      </c>
      <c r="C1989" t="s">
        <v>1550</v>
      </c>
      <c r="D1989" t="s">
        <v>1550</v>
      </c>
      <c r="E1989" s="12">
        <f>240057/275270</f>
        <v>0.87207832310095545</v>
      </c>
      <c r="F1989" s="7"/>
      <c r="G1989" s="12">
        <f>11699/275270</f>
        <v>4.2500090819922259E-2</v>
      </c>
      <c r="H1989" s="7"/>
      <c r="I1989" t="s">
        <v>1551</v>
      </c>
      <c r="J1989" t="s">
        <v>1554</v>
      </c>
      <c r="K1989" s="6">
        <f t="shared" si="66"/>
        <v>0.91457841392087769</v>
      </c>
    </row>
    <row r="1990" spans="1:11" x14ac:dyDescent="0.2">
      <c r="A1990" s="8" t="s">
        <v>1549</v>
      </c>
      <c r="B1990">
        <v>2017</v>
      </c>
      <c r="C1990" s="8" t="s">
        <v>1549</v>
      </c>
      <c r="D1990" t="s">
        <v>1555</v>
      </c>
      <c r="E1990" s="11">
        <f>228509/266962</f>
        <v>0.85596077344341137</v>
      </c>
      <c r="G1990" s="11">
        <f>14367/266962</f>
        <v>5.3816648062271037E-2</v>
      </c>
      <c r="I1990" t="s">
        <v>1551</v>
      </c>
      <c r="J1990" t="s">
        <v>1553</v>
      </c>
      <c r="K1990" s="6">
        <f t="shared" si="66"/>
        <v>0.90977742150568242</v>
      </c>
    </row>
    <row r="1991" spans="1:11" x14ac:dyDescent="0.2">
      <c r="A1991" s="8" t="s">
        <v>1556</v>
      </c>
      <c r="B1991">
        <v>2018</v>
      </c>
      <c r="C1991" s="8" t="s">
        <v>1556</v>
      </c>
      <c r="D1991" s="8" t="s">
        <v>1557</v>
      </c>
      <c r="E1991" s="12">
        <f>17148945/(17148945+2921459)</f>
        <v>0.854439452240224</v>
      </c>
      <c r="F1991" s="12"/>
      <c r="G1991" s="12">
        <f>2921459/(17148945+2921459)</f>
        <v>0.14556054775977603</v>
      </c>
      <c r="H1991" s="12"/>
      <c r="I1991" s="7" t="s">
        <v>1558</v>
      </c>
      <c r="J1991" t="s">
        <v>1559</v>
      </c>
      <c r="K1991" s="6">
        <f t="shared" si="66"/>
        <v>1</v>
      </c>
    </row>
    <row r="1992" spans="1:11" x14ac:dyDescent="0.2">
      <c r="A1992" s="8" t="s">
        <v>1556</v>
      </c>
      <c r="B1992">
        <v>2016</v>
      </c>
      <c r="C1992" s="8" t="s">
        <v>1556</v>
      </c>
      <c r="D1992" t="s">
        <v>1560</v>
      </c>
      <c r="E1992" s="12">
        <v>1</v>
      </c>
      <c r="F1992" s="12"/>
      <c r="G1992" s="12"/>
      <c r="H1992" s="12"/>
      <c r="I1992" s="7" t="s">
        <v>1561</v>
      </c>
      <c r="J1992" s="7" t="s">
        <v>1562</v>
      </c>
      <c r="K1992" s="6">
        <f t="shared" si="66"/>
        <v>1</v>
      </c>
    </row>
    <row r="1993" spans="1:11" x14ac:dyDescent="0.2">
      <c r="A1993" s="8" t="s">
        <v>1556</v>
      </c>
      <c r="B1993">
        <v>2018</v>
      </c>
      <c r="C1993" s="8" t="s">
        <v>1556</v>
      </c>
      <c r="D1993" t="s">
        <v>1560</v>
      </c>
      <c r="E1993" s="11">
        <f>17148945/(17148945+2921456)</f>
        <v>0.85443957995657382</v>
      </c>
      <c r="F1993" s="11"/>
      <c r="G1993" s="11">
        <f>2921456/(17148945+2921456)</f>
        <v>0.14556042004342615</v>
      </c>
      <c r="H1993" s="11"/>
      <c r="I1993" s="5" t="s">
        <v>1563</v>
      </c>
      <c r="J1993" t="s">
        <v>1559</v>
      </c>
      <c r="K1993" s="6">
        <f t="shared" si="66"/>
        <v>1</v>
      </c>
    </row>
    <row r="1994" spans="1:11" x14ac:dyDescent="0.2">
      <c r="A1994" s="8" t="s">
        <v>1556</v>
      </c>
      <c r="B1994">
        <v>2018</v>
      </c>
      <c r="C1994" s="8" t="s">
        <v>1556</v>
      </c>
      <c r="D1994" t="s">
        <v>1560</v>
      </c>
      <c r="E1994" s="12">
        <f>17148945/(17148945+2921459)</f>
        <v>0.854439452240224</v>
      </c>
      <c r="F1994" s="12"/>
      <c r="G1994" s="12">
        <f>2921459/(17148945+2921459)</f>
        <v>0.14556054775977603</v>
      </c>
      <c r="H1994" s="12"/>
      <c r="I1994" s="7" t="s">
        <v>1558</v>
      </c>
      <c r="J1994" t="s">
        <v>1559</v>
      </c>
      <c r="K1994" s="6">
        <f t="shared" si="66"/>
        <v>1</v>
      </c>
    </row>
    <row r="1995" spans="1:11" x14ac:dyDescent="0.2">
      <c r="A1995" t="s">
        <v>1556</v>
      </c>
      <c r="B1995">
        <v>2018</v>
      </c>
      <c r="C1995" s="8" t="s">
        <v>1556</v>
      </c>
      <c r="D1995" t="s">
        <v>1560</v>
      </c>
      <c r="E1995" s="12">
        <f>17148945/(17148945+2921459)</f>
        <v>0.854439452240224</v>
      </c>
      <c r="F1995" s="12"/>
      <c r="G1995" s="12">
        <f>2921459/(17148945+2921459)</f>
        <v>0.14556054775977603</v>
      </c>
      <c r="H1995" s="12"/>
      <c r="I1995" s="7" t="s">
        <v>1558</v>
      </c>
      <c r="J1995" t="s">
        <v>1559</v>
      </c>
      <c r="K1995" s="6">
        <f t="shared" si="66"/>
        <v>1</v>
      </c>
    </row>
    <row r="1996" spans="1:11" x14ac:dyDescent="0.2">
      <c r="A1996" s="9" t="s">
        <v>1556</v>
      </c>
      <c r="B1996" s="9">
        <v>2019</v>
      </c>
      <c r="C1996" s="9" t="s">
        <v>1560</v>
      </c>
      <c r="D1996" s="9" t="s">
        <v>1560</v>
      </c>
      <c r="E1996" s="13">
        <f>17148945/(17148945+2921459)</f>
        <v>0.854439452240224</v>
      </c>
      <c r="F1996" s="13"/>
      <c r="G1996" s="13">
        <f>2921459/(17148945+2921459)</f>
        <v>0.14556054775977603</v>
      </c>
      <c r="H1996" s="13"/>
      <c r="I1996" s="10" t="s">
        <v>1558</v>
      </c>
      <c r="J1996" s="9" t="s">
        <v>1559</v>
      </c>
      <c r="K1996" s="6">
        <f t="shared" si="66"/>
        <v>1</v>
      </c>
    </row>
    <row r="1997" spans="1:11" x14ac:dyDescent="0.2">
      <c r="A1997" t="s">
        <v>1556</v>
      </c>
      <c r="B1997">
        <v>2016</v>
      </c>
      <c r="C1997" t="s">
        <v>1556</v>
      </c>
      <c r="D1997" t="s">
        <v>1564</v>
      </c>
      <c r="E1997" s="5">
        <f>120779/(120779+65998)</f>
        <v>0.64664814190184017</v>
      </c>
      <c r="G1997" s="5">
        <f>65998/(120779+65998)</f>
        <v>0.35335185809815983</v>
      </c>
      <c r="I1997" t="s">
        <v>1565</v>
      </c>
      <c r="J1997" t="s">
        <v>1566</v>
      </c>
      <c r="K1997" s="6">
        <f t="shared" si="66"/>
        <v>1</v>
      </c>
    </row>
    <row r="1998" spans="1:11" x14ac:dyDescent="0.2">
      <c r="A1998" t="s">
        <v>1556</v>
      </c>
      <c r="B1998">
        <v>2016</v>
      </c>
      <c r="C1998" t="s">
        <v>1567</v>
      </c>
      <c r="D1998" t="s">
        <v>1567</v>
      </c>
      <c r="E1998" s="5">
        <f>82134/(82134+49436)</f>
        <v>0.62426084973778218</v>
      </c>
      <c r="G1998" s="5">
        <f>49436/(82134+49436)</f>
        <v>0.37573915026221782</v>
      </c>
      <c r="I1998" t="s">
        <v>1568</v>
      </c>
      <c r="J1998" t="s">
        <v>1569</v>
      </c>
      <c r="K1998" s="6">
        <f t="shared" si="66"/>
        <v>1</v>
      </c>
    </row>
    <row r="1999" spans="1:11" x14ac:dyDescent="0.2">
      <c r="A1999" t="s">
        <v>1556</v>
      </c>
      <c r="B1999">
        <v>2017</v>
      </c>
      <c r="C1999" t="s">
        <v>1567</v>
      </c>
      <c r="D1999" t="s">
        <v>1567</v>
      </c>
      <c r="E1999" s="5">
        <f>82134/(82134+49436)</f>
        <v>0.62426084973778218</v>
      </c>
      <c r="G1999" s="5">
        <f>49436/(82134+49436)</f>
        <v>0.37573915026221782</v>
      </c>
      <c r="I1999" t="s">
        <v>1568</v>
      </c>
      <c r="J1999" t="s">
        <v>1569</v>
      </c>
      <c r="K1999" s="6">
        <f t="shared" si="66"/>
        <v>1</v>
      </c>
    </row>
    <row r="2000" spans="1:11" x14ac:dyDescent="0.2">
      <c r="A2000" t="s">
        <v>1556</v>
      </c>
      <c r="B2000">
        <v>2018</v>
      </c>
      <c r="C2000" t="s">
        <v>1567</v>
      </c>
      <c r="D2000" t="s">
        <v>1567</v>
      </c>
      <c r="E2000" s="7">
        <f>91099/139170</f>
        <v>0.65458791406193861</v>
      </c>
      <c r="F2000" s="7"/>
      <c r="G2000" s="7">
        <f>48071/139170</f>
        <v>0.34541208593806139</v>
      </c>
      <c r="I2000" t="s">
        <v>1570</v>
      </c>
      <c r="J2000" t="s">
        <v>1571</v>
      </c>
      <c r="K2000" s="6">
        <f>SUM(E2000:G2000)</f>
        <v>1</v>
      </c>
    </row>
    <row r="2001" spans="1:11" x14ac:dyDescent="0.2">
      <c r="A2001" t="s">
        <v>1556</v>
      </c>
      <c r="B2001">
        <v>2018</v>
      </c>
      <c r="C2001" s="8" t="s">
        <v>1556</v>
      </c>
      <c r="D2001" t="s">
        <v>1567</v>
      </c>
      <c r="E2001" s="7">
        <f>91099/139170</f>
        <v>0.65458791406193861</v>
      </c>
      <c r="F2001" s="7"/>
      <c r="G2001" s="7">
        <f>48071/139170</f>
        <v>0.34541208593806139</v>
      </c>
      <c r="I2001" t="s">
        <v>1570</v>
      </c>
      <c r="J2001" t="s">
        <v>1571</v>
      </c>
      <c r="K2001" s="6">
        <f>SUM(E2001:G2001)</f>
        <v>1</v>
      </c>
    </row>
    <row r="2002" spans="1:11" x14ac:dyDescent="0.2">
      <c r="A2002" s="9" t="s">
        <v>1556</v>
      </c>
      <c r="B2002" s="9">
        <v>2019</v>
      </c>
      <c r="C2002" s="9" t="s">
        <v>1567</v>
      </c>
      <c r="D2002" s="9" t="s">
        <v>1567</v>
      </c>
      <c r="E2002" s="10">
        <f>91099/139170</f>
        <v>0.65458791406193861</v>
      </c>
      <c r="F2002" s="10"/>
      <c r="G2002" s="10">
        <f>48071/139170</f>
        <v>0.34541208593806139</v>
      </c>
      <c r="H2002" s="10"/>
      <c r="I2002" s="9" t="s">
        <v>1570</v>
      </c>
      <c r="J2002" s="9" t="s">
        <v>1571</v>
      </c>
      <c r="K2002" s="6">
        <f>SUM(E2002:G2002)</f>
        <v>1</v>
      </c>
    </row>
    <row r="2003" spans="1:11" x14ac:dyDescent="0.2">
      <c r="A2003" t="s">
        <v>1556</v>
      </c>
      <c r="B2003">
        <v>2016</v>
      </c>
      <c r="C2003" t="s">
        <v>1572</v>
      </c>
      <c r="D2003" t="s">
        <v>1572</v>
      </c>
      <c r="E2003" s="5">
        <f>38645/(38645+16560)</f>
        <v>0.70002717145186122</v>
      </c>
      <c r="G2003" s="5">
        <f>16560/(38645+16560)</f>
        <v>0.29997282854813878</v>
      </c>
      <c r="I2003" t="s">
        <v>1573</v>
      </c>
      <c r="J2003" t="s">
        <v>1574</v>
      </c>
      <c r="K2003" s="6">
        <f t="shared" ref="K2003:K2066" si="67">SUM(E2003:H2003)</f>
        <v>1</v>
      </c>
    </row>
    <row r="2004" spans="1:11" x14ac:dyDescent="0.2">
      <c r="A2004" t="s">
        <v>1556</v>
      </c>
      <c r="B2004">
        <v>2017</v>
      </c>
      <c r="C2004" t="s">
        <v>1572</v>
      </c>
      <c r="D2004" t="s">
        <v>1572</v>
      </c>
      <c r="E2004" s="5">
        <f>39194/(39194+15994)</f>
        <v>0.71019062114952525</v>
      </c>
      <c r="G2004" s="5">
        <f>15994/(39194+15994)</f>
        <v>0.28980937885047475</v>
      </c>
      <c r="I2004" t="s">
        <v>1565</v>
      </c>
      <c r="J2004" t="s">
        <v>1574</v>
      </c>
      <c r="K2004" s="6">
        <f t="shared" si="67"/>
        <v>1</v>
      </c>
    </row>
    <row r="2005" spans="1:11" x14ac:dyDescent="0.2">
      <c r="A2005" t="s">
        <v>1556</v>
      </c>
      <c r="B2005">
        <v>2018</v>
      </c>
      <c r="C2005" t="s">
        <v>1572</v>
      </c>
      <c r="D2005" t="s">
        <v>1572</v>
      </c>
      <c r="E2005" s="7">
        <f>39476/55131</f>
        <v>0.71603997750811699</v>
      </c>
      <c r="F2005" s="7"/>
      <c r="G2005" s="7">
        <f>15655/55131</f>
        <v>0.28396002249188296</v>
      </c>
      <c r="H2005" s="7"/>
      <c r="I2005" t="s">
        <v>1575</v>
      </c>
      <c r="J2005" t="s">
        <v>1576</v>
      </c>
      <c r="K2005" s="6">
        <f t="shared" si="67"/>
        <v>1</v>
      </c>
    </row>
    <row r="2006" spans="1:11" x14ac:dyDescent="0.2">
      <c r="A2006" t="s">
        <v>1556</v>
      </c>
      <c r="B2006">
        <v>2018</v>
      </c>
      <c r="C2006" s="8" t="s">
        <v>1577</v>
      </c>
      <c r="D2006" t="s">
        <v>1572</v>
      </c>
      <c r="E2006" s="7">
        <f>39476/55131</f>
        <v>0.71603997750811699</v>
      </c>
      <c r="F2006" s="7"/>
      <c r="G2006" s="7">
        <f>15655/55131</f>
        <v>0.28396002249188296</v>
      </c>
      <c r="H2006" s="7"/>
      <c r="I2006" t="s">
        <v>1575</v>
      </c>
      <c r="J2006" t="s">
        <v>1576</v>
      </c>
      <c r="K2006" s="6">
        <f t="shared" si="67"/>
        <v>1</v>
      </c>
    </row>
    <row r="2007" spans="1:11" x14ac:dyDescent="0.2">
      <c r="A2007" s="9" t="s">
        <v>1556</v>
      </c>
      <c r="B2007" s="9">
        <v>2019</v>
      </c>
      <c r="C2007" s="9" t="s">
        <v>1572</v>
      </c>
      <c r="D2007" s="9" t="s">
        <v>1572</v>
      </c>
      <c r="E2007" s="10">
        <f>39476/55131</f>
        <v>0.71603997750811699</v>
      </c>
      <c r="F2007" s="10"/>
      <c r="G2007" s="10">
        <f>15655/55131</f>
        <v>0.28396002249188296</v>
      </c>
      <c r="H2007" s="10"/>
      <c r="I2007" s="9" t="s">
        <v>1575</v>
      </c>
      <c r="J2007" s="9" t="s">
        <v>1576</v>
      </c>
      <c r="K2007" s="6">
        <f t="shared" si="67"/>
        <v>1</v>
      </c>
    </row>
    <row r="2008" spans="1:11" x14ac:dyDescent="0.2">
      <c r="A2008" t="s">
        <v>1556</v>
      </c>
      <c r="B2008">
        <v>2017</v>
      </c>
      <c r="C2008" t="s">
        <v>1578</v>
      </c>
      <c r="D2008" t="s">
        <v>1578</v>
      </c>
      <c r="E2008" s="5">
        <f>128188/(128188+63885)</f>
        <v>0.66739208530090122</v>
      </c>
      <c r="G2008" s="5">
        <f>63885/(128188+63885)</f>
        <v>0.33260791469909878</v>
      </c>
      <c r="I2008" t="s">
        <v>1565</v>
      </c>
      <c r="J2008" t="s">
        <v>1566</v>
      </c>
      <c r="K2008" s="6">
        <f t="shared" si="67"/>
        <v>1</v>
      </c>
    </row>
    <row r="2009" spans="1:11" x14ac:dyDescent="0.2">
      <c r="A2009" t="s">
        <v>1579</v>
      </c>
      <c r="B2009">
        <v>2010</v>
      </c>
      <c r="C2009" t="s">
        <v>1580</v>
      </c>
      <c r="D2009" s="15" t="s">
        <v>1580</v>
      </c>
      <c r="E2009" s="16" t="s">
        <v>137</v>
      </c>
      <c r="F2009" s="16" t="s">
        <v>137</v>
      </c>
      <c r="G2009" s="16" t="s">
        <v>137</v>
      </c>
      <c r="H2009" s="16" t="s">
        <v>137</v>
      </c>
      <c r="K2009" s="6">
        <f t="shared" si="67"/>
        <v>0</v>
      </c>
    </row>
    <row r="2010" spans="1:11" x14ac:dyDescent="0.2">
      <c r="A2010" t="s">
        <v>1579</v>
      </c>
      <c r="B2010">
        <v>2011</v>
      </c>
      <c r="C2010" t="s">
        <v>1580</v>
      </c>
      <c r="D2010" s="15" t="s">
        <v>1580</v>
      </c>
      <c r="E2010" s="16" t="s">
        <v>137</v>
      </c>
      <c r="F2010" s="16" t="s">
        <v>137</v>
      </c>
      <c r="G2010" s="16" t="s">
        <v>137</v>
      </c>
      <c r="H2010" s="16" t="s">
        <v>137</v>
      </c>
      <c r="K2010" s="6">
        <f t="shared" si="67"/>
        <v>0</v>
      </c>
    </row>
    <row r="2011" spans="1:11" x14ac:dyDescent="0.2">
      <c r="A2011" t="s">
        <v>1579</v>
      </c>
      <c r="B2011">
        <v>2012</v>
      </c>
      <c r="C2011" t="s">
        <v>1580</v>
      </c>
      <c r="D2011" s="15" t="s">
        <v>1580</v>
      </c>
      <c r="E2011" s="16" t="s">
        <v>137</v>
      </c>
      <c r="F2011" s="16" t="s">
        <v>137</v>
      </c>
      <c r="G2011" s="16" t="s">
        <v>137</v>
      </c>
      <c r="H2011" s="16" t="s">
        <v>137</v>
      </c>
      <c r="K2011" s="6">
        <f t="shared" si="67"/>
        <v>0</v>
      </c>
    </row>
    <row r="2012" spans="1:11" x14ac:dyDescent="0.2">
      <c r="A2012" t="s">
        <v>1579</v>
      </c>
      <c r="B2012">
        <v>2013</v>
      </c>
      <c r="C2012" t="s">
        <v>1580</v>
      </c>
      <c r="D2012" s="15" t="s">
        <v>1580</v>
      </c>
      <c r="E2012" s="16" t="s">
        <v>137</v>
      </c>
      <c r="F2012" s="16" t="s">
        <v>137</v>
      </c>
      <c r="G2012" s="16" t="s">
        <v>137</v>
      </c>
      <c r="H2012" s="16" t="s">
        <v>137</v>
      </c>
      <c r="K2012" s="6">
        <f t="shared" si="67"/>
        <v>0</v>
      </c>
    </row>
    <row r="2013" spans="1:11" x14ac:dyDescent="0.2">
      <c r="A2013" t="s">
        <v>1579</v>
      </c>
      <c r="B2013">
        <v>2014</v>
      </c>
      <c r="C2013" t="s">
        <v>1580</v>
      </c>
      <c r="D2013" s="15" t="s">
        <v>1580</v>
      </c>
      <c r="E2013" s="16" t="s">
        <v>137</v>
      </c>
      <c r="F2013" s="16" t="s">
        <v>137</v>
      </c>
      <c r="G2013" s="16" t="s">
        <v>137</v>
      </c>
      <c r="H2013" s="16" t="s">
        <v>137</v>
      </c>
      <c r="K2013" s="6">
        <f t="shared" si="67"/>
        <v>0</v>
      </c>
    </row>
    <row r="2014" spans="1:11" x14ac:dyDescent="0.2">
      <c r="A2014" t="s">
        <v>1579</v>
      </c>
      <c r="B2014">
        <v>2015</v>
      </c>
      <c r="C2014" t="s">
        <v>1580</v>
      </c>
      <c r="D2014" s="15" t="s">
        <v>1580</v>
      </c>
      <c r="E2014" s="16" t="s">
        <v>137</v>
      </c>
      <c r="F2014" s="16" t="s">
        <v>137</v>
      </c>
      <c r="G2014" s="16" t="s">
        <v>137</v>
      </c>
      <c r="H2014" s="16" t="s">
        <v>137</v>
      </c>
      <c r="K2014" s="6">
        <f t="shared" si="67"/>
        <v>0</v>
      </c>
    </row>
    <row r="2015" spans="1:11" x14ac:dyDescent="0.2">
      <c r="A2015" t="s">
        <v>1579</v>
      </c>
      <c r="B2015">
        <v>2016</v>
      </c>
      <c r="C2015" t="s">
        <v>1580</v>
      </c>
      <c r="D2015" s="15" t="s">
        <v>1580</v>
      </c>
      <c r="E2015" s="16" t="s">
        <v>137</v>
      </c>
      <c r="F2015" s="16" t="s">
        <v>137</v>
      </c>
      <c r="G2015" s="16" t="s">
        <v>137</v>
      </c>
      <c r="H2015" s="16" t="s">
        <v>137</v>
      </c>
      <c r="K2015" s="6">
        <f t="shared" si="67"/>
        <v>0</v>
      </c>
    </row>
    <row r="2016" spans="1:11" x14ac:dyDescent="0.2">
      <c r="A2016" s="8" t="s">
        <v>1579</v>
      </c>
      <c r="B2016">
        <v>2017</v>
      </c>
      <c r="C2016" s="8" t="s">
        <v>1579</v>
      </c>
      <c r="D2016" s="15" t="s">
        <v>1580</v>
      </c>
      <c r="E2016" s="16" t="s">
        <v>137</v>
      </c>
      <c r="F2016" s="16" t="s">
        <v>137</v>
      </c>
      <c r="G2016" s="16" t="s">
        <v>137</v>
      </c>
      <c r="H2016" s="16" t="s">
        <v>137</v>
      </c>
      <c r="K2016" s="6">
        <f t="shared" si="67"/>
        <v>0</v>
      </c>
    </row>
    <row r="2017" spans="1:11" x14ac:dyDescent="0.2">
      <c r="A2017" s="8" t="s">
        <v>1579</v>
      </c>
      <c r="B2017">
        <v>2018</v>
      </c>
      <c r="C2017" s="8" t="s">
        <v>1579</v>
      </c>
      <c r="D2017" s="15" t="s">
        <v>1580</v>
      </c>
      <c r="E2017" s="16" t="s">
        <v>137</v>
      </c>
      <c r="F2017" s="16" t="s">
        <v>137</v>
      </c>
      <c r="G2017" s="16" t="s">
        <v>137</v>
      </c>
      <c r="H2017" s="16" t="s">
        <v>137</v>
      </c>
      <c r="K2017" s="6">
        <f t="shared" si="67"/>
        <v>0</v>
      </c>
    </row>
    <row r="2018" spans="1:11" x14ac:dyDescent="0.2">
      <c r="A2018" t="s">
        <v>1579</v>
      </c>
      <c r="B2018">
        <v>2015</v>
      </c>
      <c r="C2018" t="s">
        <v>1581</v>
      </c>
      <c r="D2018" s="15" t="s">
        <v>1581</v>
      </c>
      <c r="E2018" s="16" t="s">
        <v>137</v>
      </c>
      <c r="F2018" s="16" t="s">
        <v>137</v>
      </c>
      <c r="G2018" s="16" t="s">
        <v>137</v>
      </c>
      <c r="H2018" s="16" t="s">
        <v>137</v>
      </c>
      <c r="K2018" s="6">
        <f t="shared" si="67"/>
        <v>0</v>
      </c>
    </row>
    <row r="2019" spans="1:11" x14ac:dyDescent="0.2">
      <c r="A2019" t="s">
        <v>1579</v>
      </c>
      <c r="B2019">
        <v>2016</v>
      </c>
      <c r="C2019" t="s">
        <v>1581</v>
      </c>
      <c r="D2019" s="15" t="s">
        <v>1581</v>
      </c>
      <c r="E2019" s="16" t="s">
        <v>137</v>
      </c>
      <c r="F2019" s="16" t="s">
        <v>137</v>
      </c>
      <c r="G2019" s="16" t="s">
        <v>137</v>
      </c>
      <c r="H2019" s="16" t="s">
        <v>137</v>
      </c>
      <c r="K2019" s="6">
        <f t="shared" si="67"/>
        <v>0</v>
      </c>
    </row>
    <row r="2020" spans="1:11" x14ac:dyDescent="0.2">
      <c r="A2020" s="8" t="s">
        <v>1579</v>
      </c>
      <c r="B2020">
        <v>2017</v>
      </c>
      <c r="C2020" s="8" t="s">
        <v>1579</v>
      </c>
      <c r="D2020" s="15" t="s">
        <v>1581</v>
      </c>
      <c r="E2020" s="16" t="s">
        <v>137</v>
      </c>
      <c r="F2020" s="16" t="s">
        <v>137</v>
      </c>
      <c r="G2020" s="16" t="s">
        <v>137</v>
      </c>
      <c r="H2020" s="16" t="s">
        <v>137</v>
      </c>
      <c r="K2020" s="6">
        <f t="shared" si="67"/>
        <v>0</v>
      </c>
    </row>
    <row r="2021" spans="1:11" x14ac:dyDescent="0.2">
      <c r="A2021" s="8" t="s">
        <v>1579</v>
      </c>
      <c r="B2021">
        <v>2018</v>
      </c>
      <c r="C2021" s="8" t="s">
        <v>1579</v>
      </c>
      <c r="D2021" s="15" t="s">
        <v>1581</v>
      </c>
      <c r="E2021" s="16" t="s">
        <v>137</v>
      </c>
      <c r="F2021" s="16" t="s">
        <v>137</v>
      </c>
      <c r="G2021" s="16" t="s">
        <v>137</v>
      </c>
      <c r="H2021" s="16" t="s">
        <v>137</v>
      </c>
      <c r="K2021" s="6">
        <f t="shared" si="67"/>
        <v>0</v>
      </c>
    </row>
    <row r="2022" spans="1:11" x14ac:dyDescent="0.2">
      <c r="A2022" s="8" t="s">
        <v>1582</v>
      </c>
      <c r="B2022">
        <v>2017</v>
      </c>
      <c r="C2022" s="8" t="s">
        <v>1583</v>
      </c>
      <c r="D2022" t="s">
        <v>1584</v>
      </c>
      <c r="G2022" s="11">
        <f>(58032182+7463181+6039550+461647+1437773+25644+157835+6561032)/(58032182+7463181+6039550+461647+1437773+25644+157835+1255111+6561032+4138569)</f>
        <v>0.93696948800995983</v>
      </c>
      <c r="I2022" t="s">
        <v>1585</v>
      </c>
      <c r="J2022" t="s">
        <v>1586</v>
      </c>
      <c r="K2022" s="6">
        <f t="shared" si="67"/>
        <v>0.93696948800995983</v>
      </c>
    </row>
    <row r="2023" spans="1:11" x14ac:dyDescent="0.2">
      <c r="A2023" t="s">
        <v>1582</v>
      </c>
      <c r="B2023">
        <v>2015</v>
      </c>
      <c r="C2023" t="s">
        <v>1587</v>
      </c>
      <c r="D2023" t="s">
        <v>1587</v>
      </c>
      <c r="G2023" s="5">
        <f>(36114612+5122300+5203143+1157439+1152299+32007+85877+5652240)/(36114612+5122300+5203143+1157439+1152299+32007+85877+1314661+5652240+2005987)</f>
        <v>0.94258963410886465</v>
      </c>
      <c r="I2023" t="s">
        <v>1585</v>
      </c>
      <c r="J2023" t="s">
        <v>1588</v>
      </c>
      <c r="K2023" s="6">
        <f t="shared" si="67"/>
        <v>0.94258963410886465</v>
      </c>
    </row>
    <row r="2024" spans="1:11" x14ac:dyDescent="0.2">
      <c r="A2024" t="s">
        <v>1582</v>
      </c>
      <c r="B2024">
        <v>2016</v>
      </c>
      <c r="C2024" t="s">
        <v>1587</v>
      </c>
      <c r="D2024" t="s">
        <v>1587</v>
      </c>
      <c r="G2024" s="5">
        <f>(44774453+7028403+5832076+1192068+507563+30848+118656+6037853)/(44774453+7028403+5832076+1192068+507563+30848+118656+2386886+6037853+4047556)</f>
        <v>0.91057855315142255</v>
      </c>
      <c r="I2024" t="s">
        <v>1585</v>
      </c>
      <c r="J2024" t="s">
        <v>1588</v>
      </c>
      <c r="K2024" s="6">
        <f t="shared" si="67"/>
        <v>0.91057855315142255</v>
      </c>
    </row>
    <row r="2025" spans="1:11" x14ac:dyDescent="0.2">
      <c r="A2025" t="s">
        <v>1582</v>
      </c>
      <c r="B2025">
        <v>2017</v>
      </c>
      <c r="C2025" t="s">
        <v>1587</v>
      </c>
      <c r="D2025" t="s">
        <v>1587</v>
      </c>
      <c r="G2025" s="11">
        <f>(58032182+7463181+6039550+461647+1437773+25644+157835+6561032)/(58032182+7463181+6039550+461647+1437773+25644+157835+1255111+6561032+4138569)</f>
        <v>0.93696948800995983</v>
      </c>
      <c r="I2025" t="s">
        <v>1585</v>
      </c>
      <c r="J2025" t="s">
        <v>1586</v>
      </c>
      <c r="K2025" s="6">
        <f t="shared" si="67"/>
        <v>0.93696948800995983</v>
      </c>
    </row>
    <row r="2026" spans="1:11" x14ac:dyDescent="0.2">
      <c r="A2026" s="8" t="s">
        <v>1582</v>
      </c>
      <c r="B2026">
        <v>2018</v>
      </c>
      <c r="C2026" s="8" t="s">
        <v>1583</v>
      </c>
      <c r="D2026" t="s">
        <v>1587</v>
      </c>
      <c r="E2026" s="7"/>
      <c r="F2026" s="7"/>
      <c r="G2026" s="12">
        <f>(55704913+6327992+5433558+304113+1498375+25795+138167+6673199)/(55704913+6327992+5433558+304113+1498375+25795+138167+1504078+6673199+4195464)</f>
        <v>0.93032826312958761</v>
      </c>
      <c r="H2026" s="7"/>
      <c r="I2026" t="s">
        <v>1585</v>
      </c>
      <c r="J2026" t="s">
        <v>1589</v>
      </c>
      <c r="K2026" s="6">
        <f t="shared" si="67"/>
        <v>0.93032826312958761</v>
      </c>
    </row>
    <row r="2027" spans="1:11" x14ac:dyDescent="0.2">
      <c r="A2027" t="s">
        <v>1582</v>
      </c>
      <c r="B2027">
        <v>2018</v>
      </c>
      <c r="C2027" s="8" t="s">
        <v>1583</v>
      </c>
      <c r="D2027" t="s">
        <v>1587</v>
      </c>
      <c r="E2027" s="7"/>
      <c r="F2027" s="7"/>
      <c r="G2027" s="12">
        <f>(55704913+6327992+5433558+304113+1498375+25795+138167+6673199)/(55704913+6327992+5433558+304113+1498375+25795+138167+1504078+6673199+4195464)</f>
        <v>0.93032826312958761</v>
      </c>
      <c r="H2027" s="7"/>
      <c r="I2027" t="s">
        <v>1585</v>
      </c>
      <c r="J2027" t="s">
        <v>1589</v>
      </c>
      <c r="K2027" s="6">
        <f t="shared" si="67"/>
        <v>0.93032826312958761</v>
      </c>
    </row>
    <row r="2028" spans="1:11" x14ac:dyDescent="0.2">
      <c r="A2028" t="s">
        <v>1582</v>
      </c>
      <c r="B2028">
        <v>2018</v>
      </c>
      <c r="C2028" t="s">
        <v>1587</v>
      </c>
      <c r="D2028" t="s">
        <v>1587</v>
      </c>
      <c r="E2028" s="7"/>
      <c r="F2028" s="7"/>
      <c r="G2028" s="12">
        <f>(55704913+6327992+5433558+304113+1498375+25795+138167+6673199)/(55704913+6327992+5433558+304113+1498375+25795+138167+1504078+6673199+4195464)</f>
        <v>0.93032826312958761</v>
      </c>
      <c r="H2028" s="7"/>
      <c r="I2028" t="s">
        <v>1585</v>
      </c>
      <c r="J2028" t="s">
        <v>1589</v>
      </c>
      <c r="K2028" s="6">
        <f t="shared" si="67"/>
        <v>0.93032826312958761</v>
      </c>
    </row>
    <row r="2029" spans="1:11" x14ac:dyDescent="0.2">
      <c r="A2029" s="9" t="s">
        <v>1582</v>
      </c>
      <c r="B2029" s="9">
        <v>2019</v>
      </c>
      <c r="C2029" s="9" t="s">
        <v>1587</v>
      </c>
      <c r="D2029" s="9" t="s">
        <v>1587</v>
      </c>
      <c r="E2029" s="10"/>
      <c r="F2029" s="10"/>
      <c r="G2029" s="13">
        <f>(55704913+6327992+5433558+304113+1498375+25795+138167+6673199)/(55704913+6327992+5433558+304113+1498375+25795+138167+1504078+6673199+4195464)</f>
        <v>0.93032826312958761</v>
      </c>
      <c r="H2029" s="10"/>
      <c r="I2029" s="9" t="s">
        <v>1585</v>
      </c>
      <c r="J2029" s="9" t="s">
        <v>1589</v>
      </c>
      <c r="K2029" s="6">
        <f t="shared" si="67"/>
        <v>0.93032826312958761</v>
      </c>
    </row>
    <row r="2030" spans="1:11" x14ac:dyDescent="0.2">
      <c r="A2030" s="8" t="s">
        <v>1582</v>
      </c>
      <c r="B2030">
        <v>2016</v>
      </c>
      <c r="C2030" s="8" t="s">
        <v>1583</v>
      </c>
      <c r="D2030" t="s">
        <v>1590</v>
      </c>
      <c r="G2030" s="5">
        <f>(44774453+7028403+5832076+1192068+507563+30848+118656+6037853)/(44774453+7028403+5832076+1192068+507563+30848+118656+2386886+6037853+4047556)</f>
        <v>0.91057855315142255</v>
      </c>
      <c r="I2030" t="s">
        <v>1585</v>
      </c>
      <c r="J2030" t="s">
        <v>1588</v>
      </c>
      <c r="K2030" s="6">
        <f t="shared" si="67"/>
        <v>0.91057855315142255</v>
      </c>
    </row>
    <row r="2031" spans="1:11" x14ac:dyDescent="0.2">
      <c r="A2031" t="s">
        <v>1582</v>
      </c>
      <c r="B2031">
        <v>2011</v>
      </c>
      <c r="C2031" t="s">
        <v>1591</v>
      </c>
      <c r="D2031" t="s">
        <v>1592</v>
      </c>
      <c r="G2031" s="5">
        <f>(31295268+3259228+6712409+3483349+249322)/(31295268+3259228+6712409+3483349+249322+2955103)</f>
        <v>0.93837717066149062</v>
      </c>
      <c r="I2031" t="s">
        <v>1593</v>
      </c>
      <c r="J2031" t="s">
        <v>1594</v>
      </c>
      <c r="K2031" s="6">
        <f t="shared" si="67"/>
        <v>0.93837717066149062</v>
      </c>
    </row>
    <row r="2032" spans="1:11" x14ac:dyDescent="0.2">
      <c r="A2032" t="s">
        <v>1582</v>
      </c>
      <c r="B2032">
        <v>2012</v>
      </c>
      <c r="C2032" t="s">
        <v>1591</v>
      </c>
      <c r="D2032" t="s">
        <v>1592</v>
      </c>
      <c r="G2032" s="5">
        <f>(28559976+4136898+4210351+2013472+307317)/(28559976+4136898+4210351+2013472+307317+4169893)</f>
        <v>0.90391488234674544</v>
      </c>
      <c r="I2032" t="s">
        <v>1593</v>
      </c>
      <c r="J2032" t="s">
        <v>1595</v>
      </c>
      <c r="K2032" s="6">
        <f t="shared" si="67"/>
        <v>0.90391488234674544</v>
      </c>
    </row>
    <row r="2033" spans="1:11" x14ac:dyDescent="0.2">
      <c r="A2033" t="s">
        <v>1582</v>
      </c>
      <c r="B2033">
        <v>2013</v>
      </c>
      <c r="C2033" t="s">
        <v>1591</v>
      </c>
      <c r="D2033" t="s">
        <v>1592</v>
      </c>
      <c r="G2033" s="5">
        <f>(36606061+4753205+4494521+1849293+473434)/(36606061+4753205+4494521+1849293+473434+6206862)</f>
        <v>0.88586839478299395</v>
      </c>
      <c r="I2033" t="s">
        <v>1593</v>
      </c>
      <c r="J2033" t="s">
        <v>1596</v>
      </c>
      <c r="K2033" s="6">
        <f t="shared" si="67"/>
        <v>0.88586839478299395</v>
      </c>
    </row>
    <row r="2034" spans="1:11" x14ac:dyDescent="0.2">
      <c r="A2034" t="s">
        <v>1582</v>
      </c>
      <c r="B2034">
        <v>2016</v>
      </c>
      <c r="C2034" t="s">
        <v>1591</v>
      </c>
      <c r="D2034" t="s">
        <v>1592</v>
      </c>
      <c r="G2034" s="5">
        <f>(44774453+7028403+5832076+1192068+507563+30848+118656+6037853)/(44774453+7028403+5832076+1192068+507563+30848+118656+2386886+6037853+4047556)</f>
        <v>0.91057855315142255</v>
      </c>
      <c r="I2034" t="s">
        <v>1585</v>
      </c>
      <c r="J2034" t="s">
        <v>1588</v>
      </c>
      <c r="K2034" s="6">
        <f t="shared" si="67"/>
        <v>0.91057855315142255</v>
      </c>
    </row>
    <row r="2035" spans="1:11" x14ac:dyDescent="0.2">
      <c r="A2035" t="s">
        <v>1582</v>
      </c>
      <c r="B2035">
        <v>2014</v>
      </c>
      <c r="C2035" t="s">
        <v>1591</v>
      </c>
      <c r="D2035" t="s">
        <v>1597</v>
      </c>
      <c r="G2035" s="5">
        <v>1</v>
      </c>
      <c r="I2035" t="s">
        <v>1598</v>
      </c>
      <c r="J2035" t="s">
        <v>1599</v>
      </c>
      <c r="K2035" s="6">
        <f t="shared" si="67"/>
        <v>1</v>
      </c>
    </row>
    <row r="2036" spans="1:11" x14ac:dyDescent="0.2">
      <c r="A2036" t="s">
        <v>1600</v>
      </c>
      <c r="B2036">
        <v>2010</v>
      </c>
      <c r="C2036" t="s">
        <v>1600</v>
      </c>
      <c r="D2036" s="15" t="s">
        <v>1600</v>
      </c>
      <c r="E2036" s="16" t="s">
        <v>137</v>
      </c>
      <c r="F2036" s="16" t="s">
        <v>137</v>
      </c>
      <c r="G2036" s="16" t="s">
        <v>137</v>
      </c>
      <c r="H2036" s="16" t="s">
        <v>137</v>
      </c>
      <c r="K2036" s="6">
        <f t="shared" si="67"/>
        <v>0</v>
      </c>
    </row>
    <row r="2037" spans="1:11" x14ac:dyDescent="0.2">
      <c r="A2037" t="s">
        <v>1600</v>
      </c>
      <c r="B2037">
        <v>2011</v>
      </c>
      <c r="C2037" t="s">
        <v>1600</v>
      </c>
      <c r="D2037" s="15" t="s">
        <v>1600</v>
      </c>
      <c r="E2037" s="16" t="s">
        <v>137</v>
      </c>
      <c r="F2037" s="16" t="s">
        <v>137</v>
      </c>
      <c r="G2037" s="16" t="s">
        <v>137</v>
      </c>
      <c r="H2037" s="16" t="s">
        <v>137</v>
      </c>
      <c r="K2037" s="6">
        <f t="shared" si="67"/>
        <v>0</v>
      </c>
    </row>
    <row r="2038" spans="1:11" x14ac:dyDescent="0.2">
      <c r="A2038" t="s">
        <v>1600</v>
      </c>
      <c r="B2038">
        <v>2012</v>
      </c>
      <c r="C2038" t="s">
        <v>1600</v>
      </c>
      <c r="D2038" s="15" t="s">
        <v>1600</v>
      </c>
      <c r="E2038" s="16" t="s">
        <v>137</v>
      </c>
      <c r="F2038" s="16" t="s">
        <v>137</v>
      </c>
      <c r="G2038" s="16" t="s">
        <v>137</v>
      </c>
      <c r="H2038" s="16" t="s">
        <v>137</v>
      </c>
      <c r="K2038" s="6">
        <f t="shared" si="67"/>
        <v>0</v>
      </c>
    </row>
    <row r="2039" spans="1:11" x14ac:dyDescent="0.2">
      <c r="A2039" t="s">
        <v>1600</v>
      </c>
      <c r="B2039">
        <v>2013</v>
      </c>
      <c r="C2039" t="s">
        <v>1600</v>
      </c>
      <c r="D2039" s="15" t="s">
        <v>1600</v>
      </c>
      <c r="E2039" s="16" t="s">
        <v>137</v>
      </c>
      <c r="F2039" s="16" t="s">
        <v>137</v>
      </c>
      <c r="G2039" s="16" t="s">
        <v>137</v>
      </c>
      <c r="H2039" s="16" t="s">
        <v>137</v>
      </c>
      <c r="K2039" s="6">
        <f t="shared" si="67"/>
        <v>0</v>
      </c>
    </row>
    <row r="2040" spans="1:11" x14ac:dyDescent="0.2">
      <c r="A2040" t="s">
        <v>1600</v>
      </c>
      <c r="B2040">
        <v>2014</v>
      </c>
      <c r="C2040" t="s">
        <v>1600</v>
      </c>
      <c r="D2040" s="15" t="s">
        <v>1600</v>
      </c>
      <c r="E2040" s="16" t="s">
        <v>137</v>
      </c>
      <c r="F2040" s="16" t="s">
        <v>137</v>
      </c>
      <c r="G2040" s="16" t="s">
        <v>137</v>
      </c>
      <c r="H2040" s="16" t="s">
        <v>137</v>
      </c>
      <c r="K2040" s="6">
        <f t="shared" si="67"/>
        <v>0</v>
      </c>
    </row>
    <row r="2041" spans="1:11" x14ac:dyDescent="0.2">
      <c r="A2041" t="s">
        <v>1600</v>
      </c>
      <c r="B2041">
        <v>2015</v>
      </c>
      <c r="C2041" t="s">
        <v>1600</v>
      </c>
      <c r="D2041" s="15" t="s">
        <v>1600</v>
      </c>
      <c r="E2041" s="16" t="s">
        <v>137</v>
      </c>
      <c r="F2041" s="16" t="s">
        <v>137</v>
      </c>
      <c r="G2041" s="16" t="s">
        <v>137</v>
      </c>
      <c r="H2041" s="16" t="s">
        <v>137</v>
      </c>
      <c r="K2041" s="6">
        <f t="shared" si="67"/>
        <v>0</v>
      </c>
    </row>
    <row r="2042" spans="1:11" x14ac:dyDescent="0.2">
      <c r="A2042" t="s">
        <v>1600</v>
      </c>
      <c r="B2042">
        <v>2016</v>
      </c>
      <c r="C2042" t="s">
        <v>1600</v>
      </c>
      <c r="D2042" s="15" t="s">
        <v>1600</v>
      </c>
      <c r="E2042" s="16" t="s">
        <v>137</v>
      </c>
      <c r="F2042" s="16" t="s">
        <v>137</v>
      </c>
      <c r="G2042" s="16" t="s">
        <v>137</v>
      </c>
      <c r="H2042" s="16" t="s">
        <v>137</v>
      </c>
      <c r="K2042" s="6">
        <f t="shared" si="67"/>
        <v>0</v>
      </c>
    </row>
    <row r="2043" spans="1:11" x14ac:dyDescent="0.2">
      <c r="A2043" t="s">
        <v>1600</v>
      </c>
      <c r="B2043">
        <v>2017</v>
      </c>
      <c r="C2043" t="s">
        <v>1600</v>
      </c>
      <c r="D2043" s="15" t="s">
        <v>1600</v>
      </c>
      <c r="E2043" s="16" t="s">
        <v>137</v>
      </c>
      <c r="F2043" s="16" t="s">
        <v>137</v>
      </c>
      <c r="G2043" s="16" t="s">
        <v>137</v>
      </c>
      <c r="H2043" s="16" t="s">
        <v>137</v>
      </c>
      <c r="K2043" s="6">
        <f t="shared" si="67"/>
        <v>0</v>
      </c>
    </row>
    <row r="2044" spans="1:11" x14ac:dyDescent="0.2">
      <c r="A2044" t="s">
        <v>1600</v>
      </c>
      <c r="B2044">
        <v>2018</v>
      </c>
      <c r="C2044" t="s">
        <v>1600</v>
      </c>
      <c r="D2044" s="15" t="s">
        <v>1600</v>
      </c>
      <c r="E2044" s="16" t="s">
        <v>137</v>
      </c>
      <c r="F2044" s="16" t="s">
        <v>137</v>
      </c>
      <c r="G2044" s="16" t="s">
        <v>137</v>
      </c>
      <c r="H2044" s="16" t="s">
        <v>137</v>
      </c>
      <c r="K2044" s="6">
        <f t="shared" si="67"/>
        <v>0</v>
      </c>
    </row>
    <row r="2045" spans="1:11" x14ac:dyDescent="0.2">
      <c r="A2045" t="s">
        <v>1600</v>
      </c>
      <c r="B2045">
        <v>2018</v>
      </c>
      <c r="C2045" t="s">
        <v>1600</v>
      </c>
      <c r="D2045" s="15" t="s">
        <v>1600</v>
      </c>
      <c r="E2045" s="16" t="s">
        <v>137</v>
      </c>
      <c r="F2045" s="16" t="s">
        <v>137</v>
      </c>
      <c r="G2045" s="16" t="s">
        <v>137</v>
      </c>
      <c r="H2045" s="16" t="s">
        <v>137</v>
      </c>
      <c r="K2045" s="6">
        <f t="shared" si="67"/>
        <v>0</v>
      </c>
    </row>
    <row r="2046" spans="1:11" x14ac:dyDescent="0.2">
      <c r="A2046" t="s">
        <v>1600</v>
      </c>
      <c r="B2046">
        <v>2019</v>
      </c>
      <c r="C2046" t="s">
        <v>1600</v>
      </c>
      <c r="D2046" s="15" t="s">
        <v>1600</v>
      </c>
      <c r="E2046" s="16" t="s">
        <v>137</v>
      </c>
      <c r="F2046" s="16" t="s">
        <v>137</v>
      </c>
      <c r="G2046" s="16" t="s">
        <v>137</v>
      </c>
      <c r="H2046" s="16" t="s">
        <v>137</v>
      </c>
      <c r="K2046" s="6">
        <f t="shared" si="67"/>
        <v>0</v>
      </c>
    </row>
    <row r="2047" spans="1:11" x14ac:dyDescent="0.2">
      <c r="A2047" t="s">
        <v>1600</v>
      </c>
      <c r="B2047">
        <v>2015</v>
      </c>
      <c r="C2047" t="s">
        <v>1601</v>
      </c>
      <c r="D2047" s="15" t="s">
        <v>1601</v>
      </c>
      <c r="E2047" s="16" t="s">
        <v>137</v>
      </c>
      <c r="F2047" s="16" t="s">
        <v>137</v>
      </c>
      <c r="G2047" s="16" t="s">
        <v>137</v>
      </c>
      <c r="H2047" s="16" t="s">
        <v>137</v>
      </c>
      <c r="K2047" s="6">
        <f t="shared" si="67"/>
        <v>0</v>
      </c>
    </row>
    <row r="2048" spans="1:11" x14ac:dyDescent="0.2">
      <c r="A2048" t="s">
        <v>1600</v>
      </c>
      <c r="B2048">
        <v>2016</v>
      </c>
      <c r="C2048" t="s">
        <v>1601</v>
      </c>
      <c r="D2048" s="15" t="s">
        <v>1601</v>
      </c>
      <c r="E2048" s="16" t="s">
        <v>137</v>
      </c>
      <c r="F2048" s="16" t="s">
        <v>137</v>
      </c>
      <c r="G2048" s="16" t="s">
        <v>137</v>
      </c>
      <c r="H2048" s="16" t="s">
        <v>137</v>
      </c>
      <c r="K2048" s="6">
        <f t="shared" si="67"/>
        <v>0</v>
      </c>
    </row>
    <row r="2049" spans="1:11" x14ac:dyDescent="0.2">
      <c r="A2049" t="s">
        <v>1600</v>
      </c>
      <c r="B2049">
        <v>2017</v>
      </c>
      <c r="C2049" t="s">
        <v>1600</v>
      </c>
      <c r="D2049" s="15" t="s">
        <v>1601</v>
      </c>
      <c r="E2049" s="16" t="s">
        <v>137</v>
      </c>
      <c r="F2049" s="16" t="s">
        <v>137</v>
      </c>
      <c r="G2049" s="16" t="s">
        <v>137</v>
      </c>
      <c r="H2049" s="16" t="s">
        <v>137</v>
      </c>
      <c r="K2049" s="6">
        <f t="shared" si="67"/>
        <v>0</v>
      </c>
    </row>
    <row r="2050" spans="1:11" x14ac:dyDescent="0.2">
      <c r="A2050" t="s">
        <v>1600</v>
      </c>
      <c r="B2050">
        <v>2018</v>
      </c>
      <c r="C2050" t="s">
        <v>1600</v>
      </c>
      <c r="D2050" s="15" t="s">
        <v>1601</v>
      </c>
      <c r="E2050" s="16" t="s">
        <v>137</v>
      </c>
      <c r="F2050" s="16" t="s">
        <v>137</v>
      </c>
      <c r="G2050" s="16" t="s">
        <v>137</v>
      </c>
      <c r="H2050" s="16" t="s">
        <v>137</v>
      </c>
      <c r="K2050" s="6">
        <f t="shared" si="67"/>
        <v>0</v>
      </c>
    </row>
    <row r="2051" spans="1:11" x14ac:dyDescent="0.2">
      <c r="A2051" t="s">
        <v>1600</v>
      </c>
      <c r="B2051">
        <v>2014</v>
      </c>
      <c r="C2051" t="s">
        <v>1600</v>
      </c>
      <c r="D2051" s="15" t="s">
        <v>1602</v>
      </c>
      <c r="E2051" s="16" t="s">
        <v>137</v>
      </c>
      <c r="F2051" s="16" t="s">
        <v>137</v>
      </c>
      <c r="G2051" s="16" t="s">
        <v>137</v>
      </c>
      <c r="H2051" s="16" t="s">
        <v>137</v>
      </c>
      <c r="K2051" s="6">
        <f t="shared" si="67"/>
        <v>0</v>
      </c>
    </row>
    <row r="2052" spans="1:11" x14ac:dyDescent="0.2">
      <c r="A2052" t="s">
        <v>1600</v>
      </c>
      <c r="B2052">
        <v>2010</v>
      </c>
      <c r="C2052" t="s">
        <v>1603</v>
      </c>
      <c r="D2052" s="15" t="s">
        <v>1603</v>
      </c>
      <c r="E2052" s="16" t="s">
        <v>137</v>
      </c>
      <c r="F2052" s="16" t="s">
        <v>137</v>
      </c>
      <c r="G2052" s="16" t="s">
        <v>137</v>
      </c>
      <c r="H2052" s="16" t="s">
        <v>137</v>
      </c>
      <c r="K2052" s="6">
        <f t="shared" si="67"/>
        <v>0</v>
      </c>
    </row>
    <row r="2053" spans="1:11" x14ac:dyDescent="0.2">
      <c r="A2053" t="s">
        <v>1600</v>
      </c>
      <c r="B2053">
        <v>2013</v>
      </c>
      <c r="C2053" t="s">
        <v>1603</v>
      </c>
      <c r="D2053" s="15" t="s">
        <v>1603</v>
      </c>
      <c r="E2053" s="16" t="s">
        <v>137</v>
      </c>
      <c r="F2053" s="16" t="s">
        <v>137</v>
      </c>
      <c r="G2053" s="16" t="s">
        <v>137</v>
      </c>
      <c r="H2053" s="16" t="s">
        <v>137</v>
      </c>
      <c r="K2053" s="6">
        <f t="shared" si="67"/>
        <v>0</v>
      </c>
    </row>
    <row r="2054" spans="1:11" x14ac:dyDescent="0.2">
      <c r="A2054" t="s">
        <v>1600</v>
      </c>
      <c r="B2054">
        <v>2015</v>
      </c>
      <c r="C2054" t="s">
        <v>1603</v>
      </c>
      <c r="D2054" s="15" t="s">
        <v>1603</v>
      </c>
      <c r="E2054" s="16" t="s">
        <v>137</v>
      </c>
      <c r="F2054" s="16" t="s">
        <v>137</v>
      </c>
      <c r="G2054" s="16" t="s">
        <v>137</v>
      </c>
      <c r="H2054" s="16" t="s">
        <v>137</v>
      </c>
      <c r="K2054" s="6">
        <f t="shared" si="67"/>
        <v>0</v>
      </c>
    </row>
    <row r="2055" spans="1:11" x14ac:dyDescent="0.2">
      <c r="A2055" t="s">
        <v>1600</v>
      </c>
      <c r="B2055">
        <v>2011</v>
      </c>
      <c r="C2055" t="s">
        <v>1600</v>
      </c>
      <c r="D2055" s="15" t="s">
        <v>1604</v>
      </c>
      <c r="E2055" s="16" t="s">
        <v>137</v>
      </c>
      <c r="F2055" s="16" t="s">
        <v>137</v>
      </c>
      <c r="G2055" s="16" t="s">
        <v>137</v>
      </c>
      <c r="H2055" s="16" t="s">
        <v>137</v>
      </c>
      <c r="K2055" s="6">
        <f t="shared" si="67"/>
        <v>0</v>
      </c>
    </row>
    <row r="2056" spans="1:11" x14ac:dyDescent="0.2">
      <c r="A2056" t="s">
        <v>1600</v>
      </c>
      <c r="B2056">
        <v>2012</v>
      </c>
      <c r="C2056" t="s">
        <v>1600</v>
      </c>
      <c r="D2056" s="15" t="s">
        <v>1604</v>
      </c>
      <c r="E2056" s="16" t="s">
        <v>137</v>
      </c>
      <c r="F2056" s="16" t="s">
        <v>137</v>
      </c>
      <c r="G2056" s="16" t="s">
        <v>137</v>
      </c>
      <c r="H2056" s="16" t="s">
        <v>137</v>
      </c>
      <c r="K2056" s="6">
        <f t="shared" si="67"/>
        <v>0</v>
      </c>
    </row>
    <row r="2057" spans="1:11" x14ac:dyDescent="0.2">
      <c r="A2057" t="s">
        <v>1600</v>
      </c>
      <c r="B2057">
        <v>2013</v>
      </c>
      <c r="C2057" t="s">
        <v>1600</v>
      </c>
      <c r="D2057" s="15" t="s">
        <v>1604</v>
      </c>
      <c r="E2057" s="16" t="s">
        <v>137</v>
      </c>
      <c r="F2057" s="16" t="s">
        <v>137</v>
      </c>
      <c r="G2057" s="16" t="s">
        <v>137</v>
      </c>
      <c r="H2057" s="16" t="s">
        <v>137</v>
      </c>
      <c r="K2057" s="6">
        <f t="shared" si="67"/>
        <v>0</v>
      </c>
    </row>
    <row r="2058" spans="1:11" x14ac:dyDescent="0.2">
      <c r="A2058" t="s">
        <v>1600</v>
      </c>
      <c r="B2058">
        <v>2014</v>
      </c>
      <c r="C2058" t="s">
        <v>1600</v>
      </c>
      <c r="D2058" s="15" t="s">
        <v>1604</v>
      </c>
      <c r="E2058" s="16" t="s">
        <v>137</v>
      </c>
      <c r="F2058" s="16" t="s">
        <v>137</v>
      </c>
      <c r="G2058" s="16" t="s">
        <v>137</v>
      </c>
      <c r="H2058" s="16" t="s">
        <v>137</v>
      </c>
      <c r="K2058" s="6">
        <f t="shared" si="67"/>
        <v>0</v>
      </c>
    </row>
    <row r="2059" spans="1:11" x14ac:dyDescent="0.2">
      <c r="A2059" t="s">
        <v>1600</v>
      </c>
      <c r="B2059">
        <v>2015</v>
      </c>
      <c r="C2059" t="s">
        <v>1600</v>
      </c>
      <c r="D2059" s="15" t="s">
        <v>1604</v>
      </c>
      <c r="E2059" s="16" t="s">
        <v>137</v>
      </c>
      <c r="F2059" s="16" t="s">
        <v>137</v>
      </c>
      <c r="G2059" s="16" t="s">
        <v>137</v>
      </c>
      <c r="H2059" s="16" t="s">
        <v>137</v>
      </c>
      <c r="K2059" s="6">
        <f t="shared" si="67"/>
        <v>0</v>
      </c>
    </row>
    <row r="2060" spans="1:11" x14ac:dyDescent="0.2">
      <c r="A2060" t="s">
        <v>1600</v>
      </c>
      <c r="B2060">
        <v>2010</v>
      </c>
      <c r="C2060" t="s">
        <v>1600</v>
      </c>
      <c r="D2060" s="15" t="s">
        <v>1605</v>
      </c>
      <c r="E2060" s="16" t="s">
        <v>137</v>
      </c>
      <c r="F2060" s="16" t="s">
        <v>137</v>
      </c>
      <c r="G2060" s="16" t="s">
        <v>137</v>
      </c>
      <c r="H2060" s="16" t="s">
        <v>137</v>
      </c>
      <c r="K2060" s="6">
        <f t="shared" si="67"/>
        <v>0</v>
      </c>
    </row>
    <row r="2061" spans="1:11" x14ac:dyDescent="0.2">
      <c r="A2061" t="s">
        <v>1600</v>
      </c>
      <c r="B2061">
        <v>2011</v>
      </c>
      <c r="C2061" t="s">
        <v>1600</v>
      </c>
      <c r="D2061" s="15" t="s">
        <v>1605</v>
      </c>
      <c r="E2061" s="16" t="s">
        <v>137</v>
      </c>
      <c r="F2061" s="16" t="s">
        <v>137</v>
      </c>
      <c r="G2061" s="16" t="s">
        <v>137</v>
      </c>
      <c r="H2061" s="16" t="s">
        <v>137</v>
      </c>
      <c r="K2061" s="6">
        <f t="shared" si="67"/>
        <v>0</v>
      </c>
    </row>
    <row r="2062" spans="1:11" x14ac:dyDescent="0.2">
      <c r="A2062" t="s">
        <v>1600</v>
      </c>
      <c r="B2062">
        <v>2012</v>
      </c>
      <c r="C2062" t="s">
        <v>1600</v>
      </c>
      <c r="D2062" s="15" t="s">
        <v>1605</v>
      </c>
      <c r="E2062" s="16" t="s">
        <v>137</v>
      </c>
      <c r="F2062" s="16" t="s">
        <v>137</v>
      </c>
      <c r="G2062" s="16" t="s">
        <v>137</v>
      </c>
      <c r="H2062" s="16" t="s">
        <v>137</v>
      </c>
      <c r="K2062" s="6">
        <f t="shared" si="67"/>
        <v>0</v>
      </c>
    </row>
    <row r="2063" spans="1:11" x14ac:dyDescent="0.2">
      <c r="A2063" t="s">
        <v>1600</v>
      </c>
      <c r="B2063">
        <v>2013</v>
      </c>
      <c r="C2063" t="s">
        <v>1600</v>
      </c>
      <c r="D2063" s="15" t="s">
        <v>1605</v>
      </c>
      <c r="E2063" s="16" t="s">
        <v>137</v>
      </c>
      <c r="F2063" s="16" t="s">
        <v>137</v>
      </c>
      <c r="G2063" s="16" t="s">
        <v>137</v>
      </c>
      <c r="H2063" s="16" t="s">
        <v>137</v>
      </c>
      <c r="K2063" s="6">
        <f t="shared" si="67"/>
        <v>0</v>
      </c>
    </row>
    <row r="2064" spans="1:11" x14ac:dyDescent="0.2">
      <c r="A2064" t="s">
        <v>1600</v>
      </c>
      <c r="B2064">
        <v>2014</v>
      </c>
      <c r="C2064" t="s">
        <v>1600</v>
      </c>
      <c r="D2064" s="15" t="s">
        <v>1605</v>
      </c>
      <c r="E2064" s="16" t="s">
        <v>137</v>
      </c>
      <c r="F2064" s="16" t="s">
        <v>137</v>
      </c>
      <c r="G2064" s="16" t="s">
        <v>137</v>
      </c>
      <c r="H2064" s="16" t="s">
        <v>137</v>
      </c>
      <c r="K2064" s="6">
        <f t="shared" si="67"/>
        <v>0</v>
      </c>
    </row>
    <row r="2065" spans="1:11" x14ac:dyDescent="0.2">
      <c r="A2065" t="s">
        <v>1600</v>
      </c>
      <c r="B2065">
        <v>2015</v>
      </c>
      <c r="C2065" t="s">
        <v>1600</v>
      </c>
      <c r="D2065" s="15" t="s">
        <v>1606</v>
      </c>
      <c r="E2065" s="16" t="s">
        <v>137</v>
      </c>
      <c r="F2065" s="16" t="s">
        <v>137</v>
      </c>
      <c r="G2065" s="16" t="s">
        <v>137</v>
      </c>
      <c r="H2065" s="16" t="s">
        <v>137</v>
      </c>
      <c r="K2065" s="6">
        <f t="shared" si="67"/>
        <v>0</v>
      </c>
    </row>
    <row r="2066" spans="1:11" x14ac:dyDescent="0.2">
      <c r="A2066" t="s">
        <v>1600</v>
      </c>
      <c r="B2066">
        <v>2015</v>
      </c>
      <c r="C2066" t="s">
        <v>1607</v>
      </c>
      <c r="D2066" s="15" t="s">
        <v>1607</v>
      </c>
      <c r="E2066" s="16" t="s">
        <v>137</v>
      </c>
      <c r="F2066" s="16" t="s">
        <v>137</v>
      </c>
      <c r="G2066" s="16" t="s">
        <v>137</v>
      </c>
      <c r="H2066" s="16" t="s">
        <v>137</v>
      </c>
      <c r="K2066" s="6">
        <f t="shared" si="67"/>
        <v>0</v>
      </c>
    </row>
    <row r="2067" spans="1:11" x14ac:dyDescent="0.2">
      <c r="A2067" t="s">
        <v>1600</v>
      </c>
      <c r="B2067">
        <v>2016</v>
      </c>
      <c r="C2067" t="s">
        <v>1607</v>
      </c>
      <c r="D2067" s="15" t="s">
        <v>1607</v>
      </c>
      <c r="E2067" s="16" t="s">
        <v>137</v>
      </c>
      <c r="F2067" s="16" t="s">
        <v>137</v>
      </c>
      <c r="G2067" s="16" t="s">
        <v>137</v>
      </c>
      <c r="H2067" s="16" t="s">
        <v>137</v>
      </c>
      <c r="K2067" s="6">
        <f t="shared" ref="K2067:K2130" si="68">SUM(E2067:H2067)</f>
        <v>0</v>
      </c>
    </row>
    <row r="2068" spans="1:11" x14ac:dyDescent="0.2">
      <c r="A2068" t="s">
        <v>1600</v>
      </c>
      <c r="B2068">
        <v>2017</v>
      </c>
      <c r="C2068" t="s">
        <v>1600</v>
      </c>
      <c r="D2068" s="15" t="s">
        <v>1607</v>
      </c>
      <c r="E2068" s="16" t="s">
        <v>137</v>
      </c>
      <c r="F2068" s="16" t="s">
        <v>137</v>
      </c>
      <c r="G2068" s="16" t="s">
        <v>137</v>
      </c>
      <c r="H2068" s="16" t="s">
        <v>137</v>
      </c>
      <c r="K2068" s="6">
        <f t="shared" si="68"/>
        <v>0</v>
      </c>
    </row>
    <row r="2069" spans="1:11" x14ac:dyDescent="0.2">
      <c r="A2069" t="s">
        <v>1600</v>
      </c>
      <c r="B2069">
        <v>2018</v>
      </c>
      <c r="C2069" t="s">
        <v>1600</v>
      </c>
      <c r="D2069" s="15" t="s">
        <v>1607</v>
      </c>
      <c r="E2069" s="16" t="s">
        <v>137</v>
      </c>
      <c r="F2069" s="16" t="s">
        <v>137</v>
      </c>
      <c r="G2069" s="16" t="s">
        <v>137</v>
      </c>
      <c r="H2069" s="16" t="s">
        <v>137</v>
      </c>
      <c r="K2069" s="6">
        <f t="shared" si="68"/>
        <v>0</v>
      </c>
    </row>
    <row r="2070" spans="1:11" x14ac:dyDescent="0.2">
      <c r="A2070" t="s">
        <v>1600</v>
      </c>
      <c r="B2070">
        <v>2010</v>
      </c>
      <c r="C2070" t="s">
        <v>1600</v>
      </c>
      <c r="D2070" s="15" t="s">
        <v>1608</v>
      </c>
      <c r="E2070" s="16" t="s">
        <v>137</v>
      </c>
      <c r="F2070" s="16" t="s">
        <v>137</v>
      </c>
      <c r="G2070" s="16" t="s">
        <v>137</v>
      </c>
      <c r="H2070" s="16" t="s">
        <v>137</v>
      </c>
      <c r="K2070" s="6">
        <f t="shared" si="68"/>
        <v>0</v>
      </c>
    </row>
    <row r="2071" spans="1:11" x14ac:dyDescent="0.2">
      <c r="A2071" t="s">
        <v>1600</v>
      </c>
      <c r="B2071">
        <v>2011</v>
      </c>
      <c r="C2071" t="s">
        <v>1600</v>
      </c>
      <c r="D2071" s="15" t="s">
        <v>1608</v>
      </c>
      <c r="E2071" s="16" t="s">
        <v>137</v>
      </c>
      <c r="F2071" s="16" t="s">
        <v>137</v>
      </c>
      <c r="G2071" s="16" t="s">
        <v>137</v>
      </c>
      <c r="H2071" s="16" t="s">
        <v>137</v>
      </c>
      <c r="K2071" s="6">
        <f t="shared" si="68"/>
        <v>0</v>
      </c>
    </row>
    <row r="2072" spans="1:11" x14ac:dyDescent="0.2">
      <c r="A2072" t="s">
        <v>1600</v>
      </c>
      <c r="B2072">
        <v>2017</v>
      </c>
      <c r="C2072" t="s">
        <v>1600</v>
      </c>
      <c r="D2072" s="15" t="s">
        <v>1609</v>
      </c>
      <c r="E2072" s="16" t="s">
        <v>137</v>
      </c>
      <c r="F2072" s="16" t="s">
        <v>137</v>
      </c>
      <c r="G2072" s="16" t="s">
        <v>137</v>
      </c>
      <c r="H2072" s="16" t="s">
        <v>137</v>
      </c>
      <c r="K2072" s="6">
        <f t="shared" si="68"/>
        <v>0</v>
      </c>
    </row>
    <row r="2073" spans="1:11" x14ac:dyDescent="0.2">
      <c r="A2073" t="s">
        <v>1610</v>
      </c>
      <c r="B2073">
        <v>2010</v>
      </c>
      <c r="C2073" t="s">
        <v>1611</v>
      </c>
      <c r="D2073" t="s">
        <v>1611</v>
      </c>
      <c r="H2073" s="5">
        <f>191811/363222</f>
        <v>0.52808199943835998</v>
      </c>
      <c r="I2073" t="s">
        <v>1612</v>
      </c>
      <c r="J2073" t="s">
        <v>1613</v>
      </c>
      <c r="K2073" s="6">
        <f t="shared" si="68"/>
        <v>0.52808199943835998</v>
      </c>
    </row>
    <row r="2074" spans="1:11" x14ac:dyDescent="0.2">
      <c r="A2074" t="s">
        <v>1610</v>
      </c>
      <c r="B2074">
        <v>2011</v>
      </c>
      <c r="C2074" t="s">
        <v>1611</v>
      </c>
      <c r="D2074" t="s">
        <v>1611</v>
      </c>
      <c r="H2074" s="5">
        <f>(147135+(52576/2))/371554</f>
        <v>0.46675045888350009</v>
      </c>
      <c r="I2074" t="s">
        <v>1614</v>
      </c>
      <c r="J2074" t="s">
        <v>1615</v>
      </c>
      <c r="K2074" s="6">
        <f t="shared" si="68"/>
        <v>0.46675045888350009</v>
      </c>
    </row>
    <row r="2075" spans="1:11" x14ac:dyDescent="0.2">
      <c r="A2075" t="s">
        <v>1610</v>
      </c>
      <c r="B2075">
        <v>2012</v>
      </c>
      <c r="C2075" t="s">
        <v>1611</v>
      </c>
      <c r="D2075" t="s">
        <v>1611</v>
      </c>
      <c r="H2075" s="5">
        <f>(154844+(59184/2))/380903</f>
        <v>0.48420726536677317</v>
      </c>
      <c r="I2075" t="s">
        <v>1614</v>
      </c>
      <c r="J2075" t="s">
        <v>1615</v>
      </c>
      <c r="K2075" s="6">
        <f t="shared" si="68"/>
        <v>0.48420726536677317</v>
      </c>
    </row>
    <row r="2076" spans="1:11" x14ac:dyDescent="0.2">
      <c r="A2076" t="s">
        <v>1610</v>
      </c>
      <c r="B2076">
        <v>2013</v>
      </c>
      <c r="C2076" t="s">
        <v>1611</v>
      </c>
      <c r="D2076" t="s">
        <v>1611</v>
      </c>
      <c r="H2076" s="5">
        <f>(157122+(65662/2))/386013</f>
        <v>0.49208964464927346</v>
      </c>
      <c r="I2076" t="s">
        <v>1616</v>
      </c>
      <c r="J2076" t="s">
        <v>1617</v>
      </c>
      <c r="K2076" s="6">
        <f t="shared" si="68"/>
        <v>0.49208964464927346</v>
      </c>
    </row>
    <row r="2077" spans="1:11" x14ac:dyDescent="0.2">
      <c r="A2077" t="s">
        <v>1610</v>
      </c>
      <c r="B2077">
        <v>2014</v>
      </c>
      <c r="C2077" t="s">
        <v>1611</v>
      </c>
      <c r="D2077" t="s">
        <v>1611</v>
      </c>
      <c r="H2077" s="5">
        <f>(164324+(101408/2))/436302</f>
        <v>0.49284211394859523</v>
      </c>
      <c r="I2077" t="s">
        <v>1616</v>
      </c>
      <c r="J2077" t="s">
        <v>1617</v>
      </c>
      <c r="K2077" s="6">
        <f t="shared" si="68"/>
        <v>0.49284211394859523</v>
      </c>
    </row>
    <row r="2078" spans="1:11" x14ac:dyDescent="0.2">
      <c r="A2078" t="s">
        <v>1610</v>
      </c>
      <c r="B2078">
        <v>2015</v>
      </c>
      <c r="C2078" t="s">
        <v>1611</v>
      </c>
      <c r="D2078" t="s">
        <v>1611</v>
      </c>
      <c r="H2078" s="5">
        <f>(147990+(149854/2))/466536</f>
        <v>0.47781307337483064</v>
      </c>
      <c r="I2078" t="s">
        <v>1616</v>
      </c>
      <c r="J2078" t="s">
        <v>1618</v>
      </c>
      <c r="K2078" s="6">
        <f t="shared" si="68"/>
        <v>0.47781307337483064</v>
      </c>
    </row>
    <row r="2079" spans="1:11" x14ac:dyDescent="0.2">
      <c r="A2079" t="s">
        <v>1610</v>
      </c>
      <c r="B2079">
        <v>2016</v>
      </c>
      <c r="C2079" t="s">
        <v>1611</v>
      </c>
      <c r="D2079" t="s">
        <v>1611</v>
      </c>
      <c r="H2079" s="5">
        <f>(151057+(178577/2))/509554</f>
        <v>0.47167817346149771</v>
      </c>
      <c r="I2079" t="s">
        <v>1616</v>
      </c>
      <c r="J2079" t="s">
        <v>1619</v>
      </c>
      <c r="K2079" s="6">
        <f t="shared" si="68"/>
        <v>0.47167817346149771</v>
      </c>
    </row>
    <row r="2080" spans="1:11" x14ac:dyDescent="0.2">
      <c r="A2080" t="s">
        <v>1610</v>
      </c>
      <c r="B2080">
        <v>2017</v>
      </c>
      <c r="C2080" t="s">
        <v>1611</v>
      </c>
      <c r="D2080" t="s">
        <v>1611</v>
      </c>
      <c r="H2080" s="5">
        <f>(144382+(228409/2))/516899</f>
        <v>0.50026504210687195</v>
      </c>
      <c r="I2080" t="s">
        <v>1616</v>
      </c>
      <c r="J2080" t="s">
        <v>1620</v>
      </c>
      <c r="K2080" s="6">
        <f t="shared" si="68"/>
        <v>0.50026504210687195</v>
      </c>
    </row>
    <row r="2081" spans="1:11" x14ac:dyDescent="0.2">
      <c r="A2081" s="8" t="s">
        <v>1610</v>
      </c>
      <c r="B2081">
        <v>2018</v>
      </c>
      <c r="C2081" s="8" t="s">
        <v>1610</v>
      </c>
      <c r="D2081" t="s">
        <v>1611</v>
      </c>
      <c r="E2081" s="12"/>
      <c r="F2081" s="12"/>
      <c r="G2081" s="12"/>
      <c r="H2081" s="7">
        <f>(2428+(4689/2))/14202</f>
        <v>0.33604421912406701</v>
      </c>
      <c r="I2081" t="s">
        <v>1621</v>
      </c>
      <c r="J2081" t="s">
        <v>1622</v>
      </c>
      <c r="K2081" s="6">
        <f t="shared" si="68"/>
        <v>0.33604421912406701</v>
      </c>
    </row>
    <row r="2082" spans="1:11" x14ac:dyDescent="0.2">
      <c r="A2082" t="s">
        <v>1610</v>
      </c>
      <c r="B2082">
        <v>2018</v>
      </c>
      <c r="C2082" s="8" t="s">
        <v>1610</v>
      </c>
      <c r="D2082" t="s">
        <v>1611</v>
      </c>
      <c r="E2082" s="7"/>
      <c r="F2082" s="7"/>
      <c r="G2082" s="7"/>
      <c r="H2082" s="7">
        <f>(2428+(4689/2))/14202</f>
        <v>0.33604421912406701</v>
      </c>
      <c r="I2082" t="s">
        <v>1621</v>
      </c>
      <c r="J2082" t="s">
        <v>1622</v>
      </c>
      <c r="K2082" s="6">
        <f t="shared" si="68"/>
        <v>0.33604421912406701</v>
      </c>
    </row>
    <row r="2083" spans="1:11" x14ac:dyDescent="0.2">
      <c r="A2083" t="s">
        <v>1610</v>
      </c>
      <c r="B2083">
        <v>2018</v>
      </c>
      <c r="C2083" t="s">
        <v>1623</v>
      </c>
      <c r="D2083" t="s">
        <v>1623</v>
      </c>
      <c r="E2083" s="7"/>
      <c r="F2083" s="7"/>
      <c r="G2083" s="7"/>
      <c r="H2083" s="7">
        <f>(2428+(4689/2))/14202</f>
        <v>0.33604421912406701</v>
      </c>
      <c r="I2083" t="s">
        <v>1621</v>
      </c>
      <c r="J2083" t="s">
        <v>1622</v>
      </c>
      <c r="K2083" s="6">
        <f t="shared" si="68"/>
        <v>0.33604421912406701</v>
      </c>
    </row>
    <row r="2084" spans="1:11" x14ac:dyDescent="0.2">
      <c r="A2084" s="9" t="s">
        <v>1610</v>
      </c>
      <c r="B2084" s="9">
        <v>2019</v>
      </c>
      <c r="C2084" s="9" t="s">
        <v>1611</v>
      </c>
      <c r="D2084" s="9" t="s">
        <v>1611</v>
      </c>
      <c r="E2084" s="10"/>
      <c r="F2084" s="10"/>
      <c r="G2084" s="10"/>
      <c r="H2084" s="10">
        <f>(2178+(7984/2))/17027</f>
        <v>0.36236565454865799</v>
      </c>
      <c r="I2084" s="9" t="s">
        <v>1621</v>
      </c>
      <c r="J2084" s="9" t="s">
        <v>1622</v>
      </c>
      <c r="K2084" s="6">
        <f t="shared" si="68"/>
        <v>0.36236565454865799</v>
      </c>
    </row>
    <row r="2085" spans="1:11" x14ac:dyDescent="0.2">
      <c r="A2085" s="8" t="s">
        <v>1610</v>
      </c>
      <c r="B2085">
        <v>2018</v>
      </c>
      <c r="C2085" s="8" t="s">
        <v>1610</v>
      </c>
      <c r="D2085" t="s">
        <v>1624</v>
      </c>
      <c r="E2085" s="12"/>
      <c r="F2085" s="12"/>
      <c r="G2085" s="12"/>
      <c r="H2085" s="7">
        <f>(2428+(4689/2))/14202</f>
        <v>0.33604421912406701</v>
      </c>
      <c r="I2085" t="s">
        <v>1621</v>
      </c>
      <c r="J2085" t="s">
        <v>1622</v>
      </c>
      <c r="K2085" s="6">
        <f t="shared" si="68"/>
        <v>0.33604421912406701</v>
      </c>
    </row>
    <row r="2086" spans="1:11" x14ac:dyDescent="0.2">
      <c r="A2086" t="s">
        <v>1610</v>
      </c>
      <c r="B2086">
        <v>2018</v>
      </c>
      <c r="C2086" t="s">
        <v>1624</v>
      </c>
      <c r="D2086" t="s">
        <v>1624</v>
      </c>
      <c r="E2086" s="7"/>
      <c r="F2086" s="7"/>
      <c r="G2086" s="7"/>
      <c r="H2086" s="7">
        <f>(2428+(4689/2))/14202</f>
        <v>0.33604421912406701</v>
      </c>
      <c r="I2086" t="s">
        <v>1621</v>
      </c>
      <c r="J2086" t="s">
        <v>1622</v>
      </c>
      <c r="K2086" s="6">
        <f t="shared" si="68"/>
        <v>0.33604421912406701</v>
      </c>
    </row>
    <row r="2087" spans="1:11" x14ac:dyDescent="0.2">
      <c r="A2087" s="9" t="s">
        <v>1610</v>
      </c>
      <c r="B2087" s="9">
        <v>2019</v>
      </c>
      <c r="C2087" s="9" t="s">
        <v>1624</v>
      </c>
      <c r="D2087" s="9" t="s">
        <v>1624</v>
      </c>
      <c r="E2087" s="10"/>
      <c r="F2087" s="10"/>
      <c r="G2087" s="10"/>
      <c r="H2087" s="10">
        <f>(2178+(7984/2))/17027</f>
        <v>0.36236565454865799</v>
      </c>
      <c r="I2087" s="9" t="s">
        <v>1621</v>
      </c>
      <c r="J2087" s="9" t="s">
        <v>1622</v>
      </c>
      <c r="K2087" s="6">
        <f t="shared" si="68"/>
        <v>0.36236565454865799</v>
      </c>
    </row>
    <row r="2088" spans="1:11" x14ac:dyDescent="0.2">
      <c r="A2088" s="8" t="s">
        <v>1625</v>
      </c>
      <c r="B2088">
        <v>2018</v>
      </c>
      <c r="C2088" s="8" t="s">
        <v>1625</v>
      </c>
      <c r="D2088" t="s">
        <v>1626</v>
      </c>
      <c r="E2088" s="7"/>
      <c r="F2088" s="7"/>
      <c r="G2088" s="7">
        <f>(4539+(63181/2))/70469</f>
        <v>0.51270062013083773</v>
      </c>
      <c r="H2088" s="7"/>
      <c r="I2088" t="s">
        <v>1627</v>
      </c>
      <c r="J2088" t="s">
        <v>1628</v>
      </c>
      <c r="K2088" s="6">
        <f t="shared" si="68"/>
        <v>0.51270062013083773</v>
      </c>
    </row>
    <row r="2089" spans="1:11" x14ac:dyDescent="0.2">
      <c r="A2089" t="s">
        <v>1625</v>
      </c>
      <c r="B2089">
        <v>2018</v>
      </c>
      <c r="C2089" t="s">
        <v>1626</v>
      </c>
      <c r="D2089" t="s">
        <v>1626</v>
      </c>
      <c r="E2089" s="7"/>
      <c r="F2089" s="7"/>
      <c r="G2089" s="7">
        <f>(4539+(63181/2))/70469</f>
        <v>0.51270062013083773</v>
      </c>
      <c r="H2089" s="7"/>
      <c r="I2089" t="s">
        <v>1627</v>
      </c>
      <c r="J2089" t="s">
        <v>1628</v>
      </c>
      <c r="K2089" s="6">
        <f t="shared" si="68"/>
        <v>0.51270062013083773</v>
      </c>
    </row>
    <row r="2090" spans="1:11" x14ac:dyDescent="0.2">
      <c r="A2090" t="s">
        <v>1625</v>
      </c>
      <c r="B2090">
        <v>2019</v>
      </c>
      <c r="C2090" t="s">
        <v>1626</v>
      </c>
      <c r="D2090" t="s">
        <v>1626</v>
      </c>
      <c r="E2090" s="7"/>
      <c r="F2090" s="7"/>
      <c r="G2090" s="7">
        <f>(4539+(63181/2))/70469</f>
        <v>0.51270062013083773</v>
      </c>
      <c r="H2090" s="7"/>
      <c r="I2090" t="s">
        <v>1627</v>
      </c>
      <c r="J2090" t="s">
        <v>1628</v>
      </c>
      <c r="K2090" s="6">
        <f t="shared" si="68"/>
        <v>0.51270062013083773</v>
      </c>
    </row>
    <row r="2091" spans="1:11" x14ac:dyDescent="0.2">
      <c r="A2091" t="s">
        <v>1625</v>
      </c>
      <c r="B2091">
        <v>2017</v>
      </c>
      <c r="C2091" t="s">
        <v>1629</v>
      </c>
      <c r="D2091" t="s">
        <v>1629</v>
      </c>
      <c r="E2091" s="7"/>
      <c r="F2091" s="7"/>
      <c r="G2091" s="7">
        <f>(2002+(63792/2))/67943</f>
        <v>0.49891821085321519</v>
      </c>
      <c r="H2091" s="7"/>
      <c r="I2091" t="s">
        <v>1627</v>
      </c>
      <c r="J2091" t="s">
        <v>1630</v>
      </c>
      <c r="K2091" s="6">
        <f t="shared" si="68"/>
        <v>0.49891821085321519</v>
      </c>
    </row>
    <row r="2092" spans="1:11" x14ac:dyDescent="0.2">
      <c r="A2092" t="s">
        <v>1625</v>
      </c>
      <c r="B2092">
        <v>2018</v>
      </c>
      <c r="C2092" t="s">
        <v>1629</v>
      </c>
      <c r="D2092" t="s">
        <v>1629</v>
      </c>
      <c r="E2092" s="7"/>
      <c r="F2092" s="7"/>
      <c r="G2092" s="7">
        <f>(4539+(63181/2))/70469</f>
        <v>0.51270062013083773</v>
      </c>
      <c r="H2092" s="7"/>
      <c r="I2092" t="s">
        <v>1627</v>
      </c>
      <c r="J2092" t="s">
        <v>1628</v>
      </c>
      <c r="K2092" s="6">
        <f t="shared" si="68"/>
        <v>0.51270062013083773</v>
      </c>
    </row>
    <row r="2093" spans="1:11" x14ac:dyDescent="0.2">
      <c r="A2093" t="s">
        <v>1625</v>
      </c>
      <c r="B2093">
        <v>2018</v>
      </c>
      <c r="C2093" t="s">
        <v>1629</v>
      </c>
      <c r="D2093" t="s">
        <v>1629</v>
      </c>
      <c r="E2093" s="7"/>
      <c r="F2093" s="7"/>
      <c r="G2093" s="7">
        <f>(4539+(63181/2))/70469</f>
        <v>0.51270062013083773</v>
      </c>
      <c r="H2093" s="7"/>
      <c r="I2093" t="s">
        <v>1627</v>
      </c>
      <c r="J2093" t="s">
        <v>1628</v>
      </c>
      <c r="K2093" s="6">
        <f t="shared" si="68"/>
        <v>0.51270062013083773</v>
      </c>
    </row>
    <row r="2094" spans="1:11" x14ac:dyDescent="0.2">
      <c r="A2094" t="s">
        <v>1625</v>
      </c>
      <c r="B2094">
        <v>2010</v>
      </c>
      <c r="C2094" t="s">
        <v>1631</v>
      </c>
      <c r="D2094" t="s">
        <v>1631</v>
      </c>
      <c r="G2094" s="5">
        <f>(1656+(30979/2)+2231)/34866</f>
        <v>0.55574198359433258</v>
      </c>
      <c r="I2094" t="s">
        <v>1627</v>
      </c>
      <c r="J2094" t="s">
        <v>1632</v>
      </c>
      <c r="K2094" s="6">
        <f t="shared" si="68"/>
        <v>0.55574198359433258</v>
      </c>
    </row>
    <row r="2095" spans="1:11" x14ac:dyDescent="0.2">
      <c r="A2095" t="s">
        <v>1625</v>
      </c>
      <c r="B2095">
        <v>2011</v>
      </c>
      <c r="C2095" t="s">
        <v>1631</v>
      </c>
      <c r="D2095" t="s">
        <v>1631</v>
      </c>
      <c r="G2095" s="5">
        <f>(2294+(51105/2)+880)/54279</f>
        <v>0.52923782678383902</v>
      </c>
      <c r="I2095" t="s">
        <v>1627</v>
      </c>
      <c r="J2095" t="s">
        <v>1633</v>
      </c>
      <c r="K2095" s="6">
        <f t="shared" si="68"/>
        <v>0.52923782678383902</v>
      </c>
    </row>
    <row r="2096" spans="1:11" x14ac:dyDescent="0.2">
      <c r="A2096" t="s">
        <v>1625</v>
      </c>
      <c r="B2096">
        <v>2012</v>
      </c>
      <c r="C2096" t="s">
        <v>1631</v>
      </c>
      <c r="D2096" t="s">
        <v>1631</v>
      </c>
      <c r="G2096" s="5">
        <f>(2807+(58660/2)+937)/62404</f>
        <v>0.52999807704634316</v>
      </c>
      <c r="I2096" t="s">
        <v>1627</v>
      </c>
      <c r="J2096" t="s">
        <v>1633</v>
      </c>
      <c r="K2096" s="6">
        <f t="shared" si="68"/>
        <v>0.52999807704634316</v>
      </c>
    </row>
    <row r="2097" spans="1:11" x14ac:dyDescent="0.2">
      <c r="A2097" t="s">
        <v>1625</v>
      </c>
      <c r="B2097">
        <v>2013</v>
      </c>
      <c r="C2097" t="s">
        <v>1631</v>
      </c>
      <c r="D2097" t="s">
        <v>1631</v>
      </c>
      <c r="G2097" s="5">
        <f>(2903+(62470/2)+1224)/66597</f>
        <v>0.53098487919876269</v>
      </c>
      <c r="I2097" t="s">
        <v>1634</v>
      </c>
      <c r="J2097" t="s">
        <v>1635</v>
      </c>
      <c r="K2097" s="6">
        <f t="shared" si="68"/>
        <v>0.53098487919876269</v>
      </c>
    </row>
    <row r="2098" spans="1:11" x14ac:dyDescent="0.2">
      <c r="A2098" t="s">
        <v>1625</v>
      </c>
      <c r="B2098">
        <v>2014</v>
      </c>
      <c r="C2098" t="s">
        <v>1631</v>
      </c>
      <c r="D2098" t="s">
        <v>1631</v>
      </c>
      <c r="G2098" s="5">
        <f>(2429+(64650/2)+1771)/68850</f>
        <v>0.5305010893246187</v>
      </c>
      <c r="I2098" t="s">
        <v>1634</v>
      </c>
      <c r="J2098" t="s">
        <v>1636</v>
      </c>
      <c r="K2098" s="6">
        <f t="shared" si="68"/>
        <v>0.5305010893246187</v>
      </c>
    </row>
    <row r="2099" spans="1:11" x14ac:dyDescent="0.2">
      <c r="A2099" t="s">
        <v>1625</v>
      </c>
      <c r="B2099">
        <v>2015</v>
      </c>
      <c r="C2099" t="s">
        <v>1631</v>
      </c>
      <c r="D2099" t="s">
        <v>1631</v>
      </c>
      <c r="G2099" s="5">
        <f>(2454+(63144/2)+1680)/67278</f>
        <v>0.53072326763577993</v>
      </c>
      <c r="I2099" t="s">
        <v>1627</v>
      </c>
      <c r="J2099" t="s">
        <v>1637</v>
      </c>
      <c r="K2099" s="6">
        <f t="shared" si="68"/>
        <v>0.53072326763577993</v>
      </c>
    </row>
    <row r="2100" spans="1:11" x14ac:dyDescent="0.2">
      <c r="A2100" t="s">
        <v>1625</v>
      </c>
      <c r="B2100">
        <v>2016</v>
      </c>
      <c r="C2100" t="s">
        <v>1631</v>
      </c>
      <c r="D2100" t="s">
        <v>1631</v>
      </c>
      <c r="G2100" s="5">
        <f>(2268+(52068/2)+2087)/56423</f>
        <v>0.53859241798557322</v>
      </c>
      <c r="I2100" t="s">
        <v>1627</v>
      </c>
      <c r="J2100" t="s">
        <v>1638</v>
      </c>
      <c r="K2100" s="6">
        <f t="shared" si="68"/>
        <v>0.53859241798557322</v>
      </c>
    </row>
    <row r="2101" spans="1:11" x14ac:dyDescent="0.2">
      <c r="A2101" t="s">
        <v>1625</v>
      </c>
      <c r="B2101">
        <v>2017</v>
      </c>
      <c r="C2101" t="s">
        <v>1631</v>
      </c>
      <c r="D2101" t="s">
        <v>1631</v>
      </c>
      <c r="G2101" s="5">
        <f>(2002+(63792/2))/67943</f>
        <v>0.49891821085321519</v>
      </c>
      <c r="I2101" t="s">
        <v>1627</v>
      </c>
      <c r="J2101" t="s">
        <v>1630</v>
      </c>
      <c r="K2101" s="6">
        <f t="shared" si="68"/>
        <v>0.49891821085321519</v>
      </c>
    </row>
    <row r="2102" spans="1:11" x14ac:dyDescent="0.2">
      <c r="A2102" s="8" t="s">
        <v>1625</v>
      </c>
      <c r="B2102">
        <v>2018</v>
      </c>
      <c r="C2102" s="8" t="s">
        <v>1625</v>
      </c>
      <c r="D2102" t="s">
        <v>1631</v>
      </c>
      <c r="E2102" s="7"/>
      <c r="F2102" s="7"/>
      <c r="G2102" s="7">
        <f>(4539+(63181/2))/70469</f>
        <v>0.51270062013083773</v>
      </c>
      <c r="H2102" s="7"/>
      <c r="I2102" t="s">
        <v>1627</v>
      </c>
      <c r="J2102" t="s">
        <v>1628</v>
      </c>
      <c r="K2102" s="6">
        <f t="shared" si="68"/>
        <v>0.51270062013083773</v>
      </c>
    </row>
    <row r="2103" spans="1:11" x14ac:dyDescent="0.2">
      <c r="A2103" t="s">
        <v>1625</v>
      </c>
      <c r="B2103">
        <v>2018</v>
      </c>
      <c r="C2103" s="8" t="s">
        <v>1625</v>
      </c>
      <c r="D2103" t="s">
        <v>1631</v>
      </c>
      <c r="E2103" s="7"/>
      <c r="F2103" s="7"/>
      <c r="G2103" s="7">
        <f>(4539+(63181/2))/70469</f>
        <v>0.51270062013083773</v>
      </c>
      <c r="H2103" s="7"/>
      <c r="I2103" t="s">
        <v>1627</v>
      </c>
      <c r="J2103" t="s">
        <v>1628</v>
      </c>
      <c r="K2103" s="6">
        <f t="shared" si="68"/>
        <v>0.51270062013083773</v>
      </c>
    </row>
    <row r="2104" spans="1:11" x14ac:dyDescent="0.2">
      <c r="A2104" t="s">
        <v>1625</v>
      </c>
      <c r="B2104">
        <v>2018</v>
      </c>
      <c r="C2104" t="s">
        <v>1639</v>
      </c>
      <c r="D2104" t="s">
        <v>1639</v>
      </c>
      <c r="E2104" s="7"/>
      <c r="F2104" s="7"/>
      <c r="G2104" s="7">
        <f>(4539+(63181/2))/70469</f>
        <v>0.51270062013083773</v>
      </c>
      <c r="H2104" s="7"/>
      <c r="I2104" t="s">
        <v>1627</v>
      </c>
      <c r="J2104" t="s">
        <v>1628</v>
      </c>
      <c r="K2104" s="6">
        <f t="shared" si="68"/>
        <v>0.51270062013083773</v>
      </c>
    </row>
    <row r="2105" spans="1:11" x14ac:dyDescent="0.2">
      <c r="A2105" s="9" t="s">
        <v>1625</v>
      </c>
      <c r="B2105" s="9">
        <v>2019</v>
      </c>
      <c r="C2105" s="9" t="s">
        <v>1631</v>
      </c>
      <c r="D2105" s="9" t="s">
        <v>1631</v>
      </c>
      <c r="E2105" s="10"/>
      <c r="F2105" s="10"/>
      <c r="G2105" s="10">
        <f>(4539+(63181/2))/70469</f>
        <v>0.51270062013083773</v>
      </c>
      <c r="H2105" s="10"/>
      <c r="I2105" s="9" t="s">
        <v>1627</v>
      </c>
      <c r="J2105" s="9" t="s">
        <v>1628</v>
      </c>
      <c r="K2105" s="6">
        <f t="shared" si="68"/>
        <v>0.51270062013083773</v>
      </c>
    </row>
    <row r="2106" spans="1:11" x14ac:dyDescent="0.2">
      <c r="A2106" t="s">
        <v>1625</v>
      </c>
      <c r="B2106">
        <v>2010</v>
      </c>
      <c r="C2106" t="s">
        <v>1631</v>
      </c>
      <c r="D2106" t="s">
        <v>1640</v>
      </c>
      <c r="G2106" s="5">
        <f>(1656+(30979/2)+2231)/34866</f>
        <v>0.55574198359433258</v>
      </c>
      <c r="I2106" t="s">
        <v>1627</v>
      </c>
      <c r="J2106" t="s">
        <v>1632</v>
      </c>
      <c r="K2106" s="6">
        <f t="shared" si="68"/>
        <v>0.55574198359433258</v>
      </c>
    </row>
    <row r="2107" spans="1:11" x14ac:dyDescent="0.2">
      <c r="A2107" t="s">
        <v>1625</v>
      </c>
      <c r="B2107">
        <v>2011</v>
      </c>
      <c r="C2107" t="s">
        <v>1631</v>
      </c>
      <c r="D2107" t="s">
        <v>1640</v>
      </c>
      <c r="G2107" s="5">
        <f>(2294+(51105/2)+880)/54279</f>
        <v>0.52923782678383902</v>
      </c>
      <c r="I2107" t="s">
        <v>1627</v>
      </c>
      <c r="J2107" t="s">
        <v>1633</v>
      </c>
      <c r="K2107" s="6">
        <f t="shared" si="68"/>
        <v>0.52923782678383902</v>
      </c>
    </row>
    <row r="2108" spans="1:11" x14ac:dyDescent="0.2">
      <c r="A2108" t="s">
        <v>1625</v>
      </c>
      <c r="B2108">
        <v>2013</v>
      </c>
      <c r="C2108" t="s">
        <v>1631</v>
      </c>
      <c r="D2108" t="s">
        <v>1640</v>
      </c>
      <c r="G2108" s="5">
        <f>(2903+(62470/2)+1224)/66597</f>
        <v>0.53098487919876269</v>
      </c>
      <c r="I2108" t="s">
        <v>1634</v>
      </c>
      <c r="J2108" t="s">
        <v>1635</v>
      </c>
      <c r="K2108" s="6">
        <f t="shared" si="68"/>
        <v>0.53098487919876269</v>
      </c>
    </row>
    <row r="2109" spans="1:11" x14ac:dyDescent="0.2">
      <c r="A2109" t="s">
        <v>1625</v>
      </c>
      <c r="B2109">
        <v>2014</v>
      </c>
      <c r="C2109" t="s">
        <v>1631</v>
      </c>
      <c r="D2109" t="s">
        <v>1640</v>
      </c>
      <c r="G2109" s="5">
        <f>(2429+(64650/2)+1771)/68850</f>
        <v>0.5305010893246187</v>
      </c>
      <c r="I2109" t="s">
        <v>1634</v>
      </c>
      <c r="J2109" t="s">
        <v>1636</v>
      </c>
      <c r="K2109" s="6">
        <f t="shared" si="68"/>
        <v>0.5305010893246187</v>
      </c>
    </row>
    <row r="2110" spans="1:11" x14ac:dyDescent="0.2">
      <c r="A2110" s="8" t="s">
        <v>1625</v>
      </c>
      <c r="B2110">
        <v>2017</v>
      </c>
      <c r="C2110" s="8" t="s">
        <v>1625</v>
      </c>
      <c r="D2110" t="s">
        <v>1640</v>
      </c>
      <c r="G2110" s="5">
        <f>(2002+(63792/2))/67943</f>
        <v>0.49891821085321519</v>
      </c>
      <c r="I2110" t="s">
        <v>1627</v>
      </c>
      <c r="J2110" t="s">
        <v>1630</v>
      </c>
      <c r="K2110" s="6">
        <f t="shared" si="68"/>
        <v>0.49891821085321519</v>
      </c>
    </row>
    <row r="2111" spans="1:11" x14ac:dyDescent="0.2">
      <c r="A2111" t="s">
        <v>1641</v>
      </c>
      <c r="B2111">
        <v>2011</v>
      </c>
      <c r="C2111" t="s">
        <v>1642</v>
      </c>
      <c r="D2111" t="s">
        <v>1643</v>
      </c>
      <c r="E2111" s="5">
        <f>((1376643*(2484194/2488848))+(5182476*(2484194/2488848)))/6559119</f>
        <v>0.99813005856524772</v>
      </c>
      <c r="I2111" t="s">
        <v>1644</v>
      </c>
      <c r="J2111" t="s">
        <v>1645</v>
      </c>
      <c r="K2111" s="6">
        <f t="shared" si="68"/>
        <v>0.99813005856524772</v>
      </c>
    </row>
    <row r="2112" spans="1:11" x14ac:dyDescent="0.2">
      <c r="A2112" t="s">
        <v>1641</v>
      </c>
      <c r="B2112">
        <v>2012</v>
      </c>
      <c r="C2112" t="s">
        <v>1642</v>
      </c>
      <c r="D2112" t="s">
        <v>1643</v>
      </c>
      <c r="E2112" s="5">
        <f>((1875662*(2750024/2778192))+(7294366*(2750024/2778192)))/9170028</f>
        <v>0.98986103192291963</v>
      </c>
      <c r="I2112" t="s">
        <v>1644</v>
      </c>
      <c r="J2112" t="s">
        <v>1645</v>
      </c>
      <c r="K2112" s="6">
        <f t="shared" si="68"/>
        <v>0.98986103192291963</v>
      </c>
    </row>
    <row r="2113" spans="1:11" x14ac:dyDescent="0.2">
      <c r="A2113" t="s">
        <v>1641</v>
      </c>
      <c r="B2113">
        <v>2014</v>
      </c>
      <c r="C2113" t="s">
        <v>1642</v>
      </c>
      <c r="D2113" t="s">
        <v>1643</v>
      </c>
      <c r="E2113" s="5">
        <f>((3190580*((1270433+4141816)/6337561))+(8324671*((1270433+4141816)/6337561)))/11515251</f>
        <v>0.8539955670643643</v>
      </c>
      <c r="I2113" t="s">
        <v>1646</v>
      </c>
      <c r="J2113" t="s">
        <v>1647</v>
      </c>
      <c r="K2113" s="6">
        <f t="shared" si="68"/>
        <v>0.8539955670643643</v>
      </c>
    </row>
    <row r="2114" spans="1:11" x14ac:dyDescent="0.2">
      <c r="A2114" t="s">
        <v>1641</v>
      </c>
      <c r="B2114">
        <v>2015</v>
      </c>
      <c r="C2114" t="s">
        <v>1642</v>
      </c>
      <c r="D2114" t="s">
        <v>1643</v>
      </c>
      <c r="E2114" s="5">
        <f>((3726376*((123704+3352750)/(5331404)))+((9676738*((123704+3352750)/(5331404)))))/13403114</f>
        <v>0.65207101168847825</v>
      </c>
      <c r="I2114" t="s">
        <v>1646</v>
      </c>
      <c r="J2114" t="s">
        <v>1647</v>
      </c>
      <c r="K2114" s="6">
        <f t="shared" si="68"/>
        <v>0.65207101168847825</v>
      </c>
    </row>
    <row r="2115" spans="1:11" x14ac:dyDescent="0.2">
      <c r="A2115" t="s">
        <v>1641</v>
      </c>
      <c r="B2115">
        <v>2014</v>
      </c>
      <c r="C2115" t="s">
        <v>1642</v>
      </c>
      <c r="D2115" t="s">
        <v>1648</v>
      </c>
      <c r="E2115" s="5">
        <v>1</v>
      </c>
      <c r="I2115" t="s">
        <v>1649</v>
      </c>
      <c r="J2115" t="s">
        <v>1650</v>
      </c>
      <c r="K2115" s="6">
        <f t="shared" si="68"/>
        <v>1</v>
      </c>
    </row>
    <row r="2116" spans="1:11" x14ac:dyDescent="0.2">
      <c r="A2116" s="8" t="s">
        <v>1641</v>
      </c>
      <c r="B2116">
        <v>2018</v>
      </c>
      <c r="C2116" s="8" t="s">
        <v>1641</v>
      </c>
      <c r="D2116" t="s">
        <v>1651</v>
      </c>
      <c r="E2116" s="7">
        <v>1</v>
      </c>
      <c r="F2116" s="7"/>
      <c r="G2116" s="7"/>
      <c r="H2116" s="7"/>
      <c r="I2116" t="s">
        <v>1652</v>
      </c>
      <c r="J2116" t="s">
        <v>1653</v>
      </c>
      <c r="K2116" s="6">
        <f t="shared" si="68"/>
        <v>1</v>
      </c>
    </row>
    <row r="2117" spans="1:11" x14ac:dyDescent="0.2">
      <c r="A2117" t="s">
        <v>1641</v>
      </c>
      <c r="B2117">
        <v>2018</v>
      </c>
      <c r="C2117" t="s">
        <v>1654</v>
      </c>
      <c r="D2117" t="s">
        <v>1651</v>
      </c>
      <c r="E2117" s="7">
        <v>1</v>
      </c>
      <c r="F2117" s="7"/>
      <c r="G2117" s="7"/>
      <c r="H2117" s="7"/>
      <c r="I2117" t="s">
        <v>1652</v>
      </c>
      <c r="J2117" t="s">
        <v>1653</v>
      </c>
      <c r="K2117" s="6">
        <f t="shared" si="68"/>
        <v>1</v>
      </c>
    </row>
    <row r="2118" spans="1:11" x14ac:dyDescent="0.2">
      <c r="A2118" s="8" t="s">
        <v>1641</v>
      </c>
      <c r="B2118">
        <v>2018</v>
      </c>
      <c r="C2118" s="8" t="s">
        <v>1641</v>
      </c>
      <c r="D2118" t="s">
        <v>1655</v>
      </c>
      <c r="E2118" s="7">
        <v>1</v>
      </c>
      <c r="F2118" s="7"/>
      <c r="G2118" s="7"/>
      <c r="H2118" s="7"/>
      <c r="I2118" t="s">
        <v>1656</v>
      </c>
      <c r="J2118" t="s">
        <v>1653</v>
      </c>
      <c r="K2118" s="6">
        <f t="shared" si="68"/>
        <v>1</v>
      </c>
    </row>
    <row r="2119" spans="1:11" x14ac:dyDescent="0.2">
      <c r="A2119" t="s">
        <v>1641</v>
      </c>
      <c r="B2119">
        <v>2018</v>
      </c>
      <c r="C2119" t="s">
        <v>1654</v>
      </c>
      <c r="D2119" t="s">
        <v>1655</v>
      </c>
      <c r="E2119" s="7">
        <v>1</v>
      </c>
      <c r="F2119" s="7"/>
      <c r="G2119" s="7"/>
      <c r="H2119" s="7"/>
      <c r="I2119" t="s">
        <v>1656</v>
      </c>
      <c r="J2119" t="s">
        <v>1653</v>
      </c>
      <c r="K2119" s="6">
        <f t="shared" si="68"/>
        <v>1</v>
      </c>
    </row>
    <row r="2120" spans="1:11" x14ac:dyDescent="0.2">
      <c r="A2120" s="8" t="s">
        <v>1641</v>
      </c>
      <c r="B2120">
        <v>2018</v>
      </c>
      <c r="C2120" s="8" t="s">
        <v>1641</v>
      </c>
      <c r="D2120" t="s">
        <v>1657</v>
      </c>
      <c r="E2120" s="7">
        <f>(((4170070+1935030)/8614889)*((9841098+20767998))/30609096)</f>
        <v>0.70866844598926348</v>
      </c>
      <c r="F2120" s="7"/>
      <c r="G2120" s="7"/>
      <c r="H2120" s="7"/>
      <c r="I2120" t="s">
        <v>1658</v>
      </c>
      <c r="J2120" t="s">
        <v>1659</v>
      </c>
      <c r="K2120" s="6">
        <f t="shared" si="68"/>
        <v>0.70866844598926348</v>
      </c>
    </row>
    <row r="2121" spans="1:11" x14ac:dyDescent="0.2">
      <c r="A2121" s="8" t="s">
        <v>1641</v>
      </c>
      <c r="B2121">
        <v>2018</v>
      </c>
      <c r="C2121" s="8" t="s">
        <v>1641</v>
      </c>
      <c r="D2121" t="s">
        <v>1660</v>
      </c>
      <c r="E2121" s="7">
        <f>(((4170070+1935030)/8614889)*((9841098+20767998))/30609096)</f>
        <v>0.70866844598926348</v>
      </c>
      <c r="F2121" s="7"/>
      <c r="G2121" s="7"/>
      <c r="H2121" s="7"/>
      <c r="I2121" t="s">
        <v>1658</v>
      </c>
      <c r="J2121" t="s">
        <v>1659</v>
      </c>
      <c r="K2121" s="6">
        <f t="shared" si="68"/>
        <v>0.70866844598926348</v>
      </c>
    </row>
    <row r="2122" spans="1:11" x14ac:dyDescent="0.2">
      <c r="A2122" t="s">
        <v>1641</v>
      </c>
      <c r="B2122">
        <v>2018</v>
      </c>
      <c r="C2122" s="8" t="s">
        <v>1641</v>
      </c>
      <c r="D2122" t="s">
        <v>1660</v>
      </c>
      <c r="E2122" s="7">
        <f>(((4170070+1935030)/8614889)*((9841098+20767998))/30609096)</f>
        <v>0.70866844598926348</v>
      </c>
      <c r="F2122" s="7"/>
      <c r="G2122" s="7"/>
      <c r="H2122" s="7"/>
      <c r="I2122" t="s">
        <v>1658</v>
      </c>
      <c r="J2122" t="s">
        <v>1659</v>
      </c>
      <c r="K2122" s="6">
        <f t="shared" si="68"/>
        <v>0.70866844598926348</v>
      </c>
    </row>
    <row r="2123" spans="1:11" x14ac:dyDescent="0.2">
      <c r="A2123" s="8" t="s">
        <v>1641</v>
      </c>
      <c r="B2123">
        <v>2018</v>
      </c>
      <c r="C2123" s="8" t="s">
        <v>1641</v>
      </c>
      <c r="D2123" t="s">
        <v>1661</v>
      </c>
      <c r="E2123" s="7">
        <f>(((4170070+1935030)/8614889)*((9841098+20767998))/30609096)</f>
        <v>0.70866844598926348</v>
      </c>
      <c r="F2123" s="7"/>
      <c r="G2123" s="7"/>
      <c r="H2123" s="7"/>
      <c r="I2123" t="s">
        <v>1658</v>
      </c>
      <c r="J2123" t="s">
        <v>1659</v>
      </c>
      <c r="K2123" s="6">
        <f t="shared" si="68"/>
        <v>0.70866844598926348</v>
      </c>
    </row>
    <row r="2124" spans="1:11" x14ac:dyDescent="0.2">
      <c r="A2124" t="s">
        <v>1641</v>
      </c>
      <c r="B2124">
        <v>2018</v>
      </c>
      <c r="C2124" s="8" t="s">
        <v>1641</v>
      </c>
      <c r="D2124" t="s">
        <v>1661</v>
      </c>
      <c r="E2124" s="7">
        <f>(((4170070+1935030)/8614889)*((9841098+20767998))/30609096)</f>
        <v>0.70866844598926348</v>
      </c>
      <c r="F2124" s="7"/>
      <c r="G2124" s="7"/>
      <c r="H2124" s="7"/>
      <c r="I2124" t="s">
        <v>1658</v>
      </c>
      <c r="J2124" t="s">
        <v>1659</v>
      </c>
      <c r="K2124" s="6">
        <f t="shared" si="68"/>
        <v>0.70866844598926348</v>
      </c>
    </row>
    <row r="2125" spans="1:11" x14ac:dyDescent="0.2">
      <c r="A2125" t="s">
        <v>1641</v>
      </c>
      <c r="B2125">
        <v>2010</v>
      </c>
      <c r="C2125" t="s">
        <v>1642</v>
      </c>
      <c r="D2125" t="s">
        <v>1642</v>
      </c>
      <c r="E2125" s="7">
        <f>((1024400025*(2282528800/2310101212))+(4736753002*(2282528800/2310101212)))/5761153027</f>
        <v>0.98806441386343891</v>
      </c>
      <c r="F2125" s="7"/>
      <c r="G2125" s="7"/>
      <c r="H2125" s="7"/>
      <c r="I2125" t="s">
        <v>1644</v>
      </c>
      <c r="J2125" t="s">
        <v>1662</v>
      </c>
      <c r="K2125" s="6">
        <f t="shared" si="68"/>
        <v>0.98806441386343891</v>
      </c>
    </row>
    <row r="2126" spans="1:11" x14ac:dyDescent="0.2">
      <c r="A2126" t="s">
        <v>1641</v>
      </c>
      <c r="B2126">
        <v>2010</v>
      </c>
      <c r="C2126" t="s">
        <v>1654</v>
      </c>
      <c r="D2126" t="s">
        <v>1663</v>
      </c>
      <c r="E2126" s="7">
        <f>((1024400025*(2282528800/2310101212))+(4736753002*(2282528800/2310101212)))/5761153027</f>
        <v>0.98806441386343891</v>
      </c>
      <c r="F2126" s="7"/>
      <c r="G2126" s="7"/>
      <c r="H2126" s="7"/>
      <c r="I2126" t="s">
        <v>1644</v>
      </c>
      <c r="J2126" t="s">
        <v>1662</v>
      </c>
      <c r="K2126" s="6">
        <f t="shared" si="68"/>
        <v>0.98806441386343891</v>
      </c>
    </row>
    <row r="2127" spans="1:11" x14ac:dyDescent="0.2">
      <c r="A2127" t="s">
        <v>1641</v>
      </c>
      <c r="B2127">
        <v>2011</v>
      </c>
      <c r="C2127" t="s">
        <v>1642</v>
      </c>
      <c r="D2127" t="s">
        <v>1642</v>
      </c>
      <c r="E2127" s="7">
        <f>((1376643*(2484194/2488848))+(5182476*(2484194/2488848)))/6559119</f>
        <v>0.99813005856524772</v>
      </c>
      <c r="F2127" s="7"/>
      <c r="G2127" s="7"/>
      <c r="H2127" s="7"/>
      <c r="I2127" t="s">
        <v>1644</v>
      </c>
      <c r="J2127" t="s">
        <v>1645</v>
      </c>
      <c r="K2127" s="6">
        <f t="shared" si="68"/>
        <v>0.99813005856524772</v>
      </c>
    </row>
    <row r="2128" spans="1:11" x14ac:dyDescent="0.2">
      <c r="A2128" t="s">
        <v>1641</v>
      </c>
      <c r="B2128">
        <v>2014</v>
      </c>
      <c r="C2128" t="s">
        <v>1642</v>
      </c>
      <c r="D2128" t="s">
        <v>1642</v>
      </c>
      <c r="E2128" s="7">
        <f>((3190580*((1270433+4141816)/6337561))+(8324671*((1270433+4141816)/6337561)))/11515251</f>
        <v>0.8539955670643643</v>
      </c>
      <c r="F2128" s="7"/>
      <c r="G2128" s="7"/>
      <c r="H2128" s="7"/>
      <c r="I2128" t="s">
        <v>1646</v>
      </c>
      <c r="J2128" t="s">
        <v>1647</v>
      </c>
      <c r="K2128" s="6">
        <f t="shared" si="68"/>
        <v>0.8539955670643643</v>
      </c>
    </row>
    <row r="2129" spans="1:11" x14ac:dyDescent="0.2">
      <c r="A2129" t="s">
        <v>1641</v>
      </c>
      <c r="B2129">
        <v>2015</v>
      </c>
      <c r="C2129" t="s">
        <v>1642</v>
      </c>
      <c r="D2129" t="s">
        <v>1642</v>
      </c>
      <c r="E2129" s="7">
        <f>((3726376*((123704+3352750)/(5331404)))+((9676738*((123704+3352750)/(5331404)))))/13403114</f>
        <v>0.65207101168847825</v>
      </c>
      <c r="F2129" s="7"/>
      <c r="G2129" s="7"/>
      <c r="H2129" s="7"/>
      <c r="I2129" t="s">
        <v>1646</v>
      </c>
      <c r="J2129" t="s">
        <v>1647</v>
      </c>
      <c r="K2129" s="6">
        <f t="shared" si="68"/>
        <v>0.65207101168847825</v>
      </c>
    </row>
    <row r="2130" spans="1:11" x14ac:dyDescent="0.2">
      <c r="A2130" t="s">
        <v>1641</v>
      </c>
      <c r="B2130">
        <v>2016</v>
      </c>
      <c r="C2130" t="s">
        <v>1642</v>
      </c>
      <c r="D2130" t="s">
        <v>1642</v>
      </c>
      <c r="E2130" s="7">
        <f>((4557258*(3333374/4888655))+(17199897*(3333374/4888655)))/21757155</f>
        <v>0.68185912076020905</v>
      </c>
      <c r="F2130" s="7"/>
      <c r="G2130" s="7"/>
      <c r="H2130" s="7"/>
      <c r="I2130" t="s">
        <v>1664</v>
      </c>
      <c r="J2130" t="s">
        <v>1653</v>
      </c>
      <c r="K2130" s="6">
        <f t="shared" si="68"/>
        <v>0.68185912076020905</v>
      </c>
    </row>
    <row r="2131" spans="1:11" x14ac:dyDescent="0.2">
      <c r="A2131" s="8" t="s">
        <v>1641</v>
      </c>
      <c r="B2131">
        <v>2017</v>
      </c>
      <c r="C2131" s="8" t="s">
        <v>1641</v>
      </c>
      <c r="D2131" t="s">
        <v>1663</v>
      </c>
      <c r="E2131" s="7">
        <f>((5301485*(4423226/6709085))+(18404477*(4423226/6709085)))/23705962</f>
        <v>0.6592890088588832</v>
      </c>
      <c r="F2131" s="7"/>
      <c r="G2131" s="7"/>
      <c r="H2131" s="7"/>
      <c r="I2131" t="s">
        <v>1664</v>
      </c>
      <c r="J2131" t="s">
        <v>1653</v>
      </c>
      <c r="K2131" s="6">
        <f t="shared" ref="K2131:K2194" si="69">SUM(E2131:H2131)</f>
        <v>0.6592890088588832</v>
      </c>
    </row>
    <row r="2132" spans="1:11" x14ac:dyDescent="0.2">
      <c r="A2132" s="8" t="s">
        <v>1641</v>
      </c>
      <c r="B2132">
        <v>2018</v>
      </c>
      <c r="C2132" s="8" t="s">
        <v>1641</v>
      </c>
      <c r="D2132" t="s">
        <v>1663</v>
      </c>
      <c r="E2132" s="7">
        <f>((5301485*(4423226/6709085))+(18404477*(4423226/6709085)))/23705962</f>
        <v>0.6592890088588832</v>
      </c>
      <c r="F2132" s="7"/>
      <c r="G2132" s="7"/>
      <c r="H2132" s="7"/>
      <c r="I2132" t="s">
        <v>1664</v>
      </c>
      <c r="J2132" t="s">
        <v>1653</v>
      </c>
      <c r="K2132" s="6">
        <f t="shared" si="69"/>
        <v>0.6592890088588832</v>
      </c>
    </row>
    <row r="2133" spans="1:11" x14ac:dyDescent="0.2">
      <c r="A2133" t="s">
        <v>1641</v>
      </c>
      <c r="B2133">
        <v>2018</v>
      </c>
      <c r="C2133" s="8" t="s">
        <v>1641</v>
      </c>
      <c r="D2133" t="s">
        <v>1663</v>
      </c>
      <c r="E2133" s="7">
        <f>(((4170070+1935030)/8614889)*((9841098+20767998))/30609096)</f>
        <v>0.70866844598926348</v>
      </c>
      <c r="F2133" s="7"/>
      <c r="G2133" s="7"/>
      <c r="H2133" s="7"/>
      <c r="I2133" t="s">
        <v>1658</v>
      </c>
      <c r="J2133" t="s">
        <v>1659</v>
      </c>
      <c r="K2133" s="6">
        <f t="shared" si="69"/>
        <v>0.70866844598926348</v>
      </c>
    </row>
    <row r="2134" spans="1:11" x14ac:dyDescent="0.2">
      <c r="A2134" t="s">
        <v>1641</v>
      </c>
      <c r="B2134" t="s">
        <v>125</v>
      </c>
      <c r="C2134" t="s">
        <v>1642</v>
      </c>
      <c r="D2134" t="s">
        <v>1642</v>
      </c>
      <c r="E2134" s="7">
        <f>((3726376*((123704+3352750)/(5331404)))+((9676738*((123704+3352750)/(5331404)))))/13403114</f>
        <v>0.65207101168847825</v>
      </c>
      <c r="F2134" s="7"/>
      <c r="G2134" s="7"/>
      <c r="H2134" s="7"/>
      <c r="I2134" t="s">
        <v>1646</v>
      </c>
      <c r="J2134" t="s">
        <v>1665</v>
      </c>
      <c r="K2134" s="6">
        <f t="shared" si="69"/>
        <v>0.65207101168847825</v>
      </c>
    </row>
    <row r="2135" spans="1:11" x14ac:dyDescent="0.2">
      <c r="A2135" t="s">
        <v>1641</v>
      </c>
      <c r="B2135">
        <v>2010</v>
      </c>
      <c r="C2135" t="s">
        <v>1654</v>
      </c>
      <c r="D2135" t="s">
        <v>1654</v>
      </c>
      <c r="E2135" s="7">
        <f>((1024400025*(2282528800/2310101212))+(4736753002*(2282528800/2310101212)))/5761153027</f>
        <v>0.98806441386343891</v>
      </c>
      <c r="F2135" s="7"/>
      <c r="G2135" s="7"/>
      <c r="H2135" s="7"/>
      <c r="I2135" t="s">
        <v>1644</v>
      </c>
      <c r="J2135" t="s">
        <v>1662</v>
      </c>
      <c r="K2135" s="6">
        <f t="shared" si="69"/>
        <v>0.98806441386343891</v>
      </c>
    </row>
    <row r="2136" spans="1:11" x14ac:dyDescent="0.2">
      <c r="A2136" t="s">
        <v>1641</v>
      </c>
      <c r="B2136">
        <v>2011</v>
      </c>
      <c r="C2136" t="s">
        <v>1654</v>
      </c>
      <c r="D2136" t="s">
        <v>1654</v>
      </c>
      <c r="E2136" s="7">
        <f>((1376643*(2484194/2488848))+(5182476*(2484194/2488848)))/6559119</f>
        <v>0.99813005856524772</v>
      </c>
      <c r="F2136" s="7"/>
      <c r="G2136" s="7"/>
      <c r="H2136" s="7"/>
      <c r="I2136" t="s">
        <v>1644</v>
      </c>
      <c r="J2136" t="s">
        <v>1645</v>
      </c>
      <c r="K2136" s="6">
        <f t="shared" si="69"/>
        <v>0.99813005856524772</v>
      </c>
    </row>
    <row r="2137" spans="1:11" x14ac:dyDescent="0.2">
      <c r="A2137" t="s">
        <v>1641</v>
      </c>
      <c r="B2137">
        <v>2012</v>
      </c>
      <c r="C2137" t="s">
        <v>1654</v>
      </c>
      <c r="D2137" t="s">
        <v>1654</v>
      </c>
      <c r="E2137" s="7">
        <f>((1875662*(2750024/2778192))+(7294366*(2750024/2778192)))/9170028</f>
        <v>0.98986103192291963</v>
      </c>
      <c r="F2137" s="7"/>
      <c r="G2137" s="7"/>
      <c r="H2137" s="7"/>
      <c r="I2137" t="s">
        <v>1644</v>
      </c>
      <c r="J2137" t="s">
        <v>1645</v>
      </c>
      <c r="K2137" s="6">
        <f t="shared" si="69"/>
        <v>0.98986103192291963</v>
      </c>
    </row>
    <row r="2138" spans="1:11" x14ac:dyDescent="0.2">
      <c r="A2138" t="s">
        <v>1641</v>
      </c>
      <c r="B2138">
        <v>2013</v>
      </c>
      <c r="C2138" t="s">
        <v>1654</v>
      </c>
      <c r="D2138" t="s">
        <v>1654</v>
      </c>
      <c r="E2138" s="7">
        <f>((1875662*(2750024/2778192))+(7294366*(2750024/2778192)))/9170028</f>
        <v>0.98986103192291963</v>
      </c>
      <c r="F2138" s="7"/>
      <c r="G2138" s="7"/>
      <c r="H2138" s="7"/>
      <c r="I2138" t="s">
        <v>1644</v>
      </c>
      <c r="J2138" t="s">
        <v>1645</v>
      </c>
      <c r="K2138" s="6">
        <f t="shared" si="69"/>
        <v>0.98986103192291963</v>
      </c>
    </row>
    <row r="2139" spans="1:11" x14ac:dyDescent="0.2">
      <c r="A2139" t="s">
        <v>1641</v>
      </c>
      <c r="B2139">
        <v>2014</v>
      </c>
      <c r="C2139" t="s">
        <v>1654</v>
      </c>
      <c r="D2139" t="s">
        <v>1654</v>
      </c>
      <c r="E2139" s="7">
        <f>((3190580*((1270433+4141816)/6337561))+(8324671*((1270433+4141816)/6337561)))/11515251</f>
        <v>0.8539955670643643</v>
      </c>
      <c r="F2139" s="7"/>
      <c r="G2139" s="7"/>
      <c r="H2139" s="7"/>
      <c r="I2139" t="s">
        <v>1646</v>
      </c>
      <c r="J2139" t="s">
        <v>1647</v>
      </c>
      <c r="K2139" s="6">
        <f t="shared" si="69"/>
        <v>0.8539955670643643</v>
      </c>
    </row>
    <row r="2140" spans="1:11" x14ac:dyDescent="0.2">
      <c r="A2140" t="s">
        <v>1641</v>
      </c>
      <c r="B2140">
        <v>2015</v>
      </c>
      <c r="C2140" t="s">
        <v>1654</v>
      </c>
      <c r="D2140" t="s">
        <v>1654</v>
      </c>
      <c r="E2140" s="7">
        <f>((3726376*((123704+3352750)/(5331404)))+((9676738*((123704+3352750)/(5331404)))))/13403114</f>
        <v>0.65207101168847825</v>
      </c>
      <c r="F2140" s="7"/>
      <c r="G2140" s="7"/>
      <c r="H2140" s="7"/>
      <c r="I2140" t="s">
        <v>1646</v>
      </c>
      <c r="J2140" t="s">
        <v>1647</v>
      </c>
      <c r="K2140" s="6">
        <f t="shared" si="69"/>
        <v>0.65207101168847825</v>
      </c>
    </row>
    <row r="2141" spans="1:11" x14ac:dyDescent="0.2">
      <c r="A2141" t="s">
        <v>1641</v>
      </c>
      <c r="B2141">
        <v>2016</v>
      </c>
      <c r="C2141" t="s">
        <v>1654</v>
      </c>
      <c r="D2141" t="s">
        <v>1654</v>
      </c>
      <c r="E2141" s="7">
        <f>((4557258*(3333374/4888655))+(17199897*(3333374/4888655)))/21757155</f>
        <v>0.68185912076020905</v>
      </c>
      <c r="F2141" s="7"/>
      <c r="G2141" s="7"/>
      <c r="H2141" s="7"/>
      <c r="I2141" t="s">
        <v>1664</v>
      </c>
      <c r="J2141" t="s">
        <v>1653</v>
      </c>
      <c r="K2141" s="6">
        <f t="shared" si="69"/>
        <v>0.68185912076020905</v>
      </c>
    </row>
    <row r="2142" spans="1:11" x14ac:dyDescent="0.2">
      <c r="A2142" t="s">
        <v>1641</v>
      </c>
      <c r="B2142">
        <v>2017</v>
      </c>
      <c r="C2142" t="s">
        <v>1654</v>
      </c>
      <c r="D2142" t="s">
        <v>1654</v>
      </c>
      <c r="E2142" s="7">
        <f>((5301485*(4423226/6709085))+(18404477*(4423226/6709085)))/23705962</f>
        <v>0.6592890088588832</v>
      </c>
      <c r="F2142" s="7"/>
      <c r="G2142" s="7"/>
      <c r="H2142" s="7"/>
      <c r="I2142" t="s">
        <v>1664</v>
      </c>
      <c r="J2142" t="s">
        <v>1653</v>
      </c>
      <c r="K2142" s="6">
        <f t="shared" si="69"/>
        <v>0.6592890088588832</v>
      </c>
    </row>
    <row r="2143" spans="1:11" x14ac:dyDescent="0.2">
      <c r="A2143" s="8" t="s">
        <v>1641</v>
      </c>
      <c r="B2143">
        <v>2018</v>
      </c>
      <c r="C2143" s="8" t="s">
        <v>1641</v>
      </c>
      <c r="D2143" t="s">
        <v>1654</v>
      </c>
      <c r="E2143" s="7">
        <f>(((4170070+1935030)/8614889)*((9841098+20767998))/30609096)</f>
        <v>0.70866844598926348</v>
      </c>
      <c r="F2143" s="7"/>
      <c r="G2143" s="7"/>
      <c r="H2143" s="7"/>
      <c r="I2143" t="s">
        <v>1658</v>
      </c>
      <c r="J2143" t="s">
        <v>1659</v>
      </c>
      <c r="K2143" s="6">
        <f t="shared" si="69"/>
        <v>0.70866844598926348</v>
      </c>
    </row>
    <row r="2144" spans="1:11" x14ac:dyDescent="0.2">
      <c r="A2144" t="s">
        <v>1641</v>
      </c>
      <c r="B2144">
        <v>2018</v>
      </c>
      <c r="C2144" s="8" t="s">
        <v>1641</v>
      </c>
      <c r="D2144" t="s">
        <v>1654</v>
      </c>
      <c r="E2144" s="7">
        <f>(((4170070+1935030)/8614889)*((9841098+20767998))/30609096)</f>
        <v>0.70866844598926348</v>
      </c>
      <c r="F2144" s="7"/>
      <c r="G2144" s="7"/>
      <c r="H2144" s="7"/>
      <c r="I2144" t="s">
        <v>1658</v>
      </c>
      <c r="J2144" t="s">
        <v>1659</v>
      </c>
      <c r="K2144" s="6">
        <f t="shared" si="69"/>
        <v>0.70866844598926348</v>
      </c>
    </row>
    <row r="2145" spans="1:11" x14ac:dyDescent="0.2">
      <c r="A2145" t="s">
        <v>1641</v>
      </c>
      <c r="B2145">
        <v>2018</v>
      </c>
      <c r="C2145" t="s">
        <v>1654</v>
      </c>
      <c r="D2145" t="s">
        <v>1654</v>
      </c>
      <c r="E2145" s="7">
        <f>(((4170070+1935030)/8614889)*((9841098+20767998))/30609096)</f>
        <v>0.70866844598926348</v>
      </c>
      <c r="F2145" s="7"/>
      <c r="G2145" s="7"/>
      <c r="H2145" s="7"/>
      <c r="I2145" t="s">
        <v>1658</v>
      </c>
      <c r="J2145" t="s">
        <v>1659</v>
      </c>
      <c r="K2145" s="6">
        <f t="shared" si="69"/>
        <v>0.70866844598926348</v>
      </c>
    </row>
    <row r="2146" spans="1:11" x14ac:dyDescent="0.2">
      <c r="A2146" s="9" t="s">
        <v>1641</v>
      </c>
      <c r="B2146" s="9">
        <v>2019</v>
      </c>
      <c r="C2146" s="9" t="s">
        <v>1654</v>
      </c>
      <c r="D2146" s="9" t="s">
        <v>1654</v>
      </c>
      <c r="E2146" s="10">
        <f>(((4170070+1935030)/8614889)*((9841098+20767998))/30609096)</f>
        <v>0.70866844598926348</v>
      </c>
      <c r="F2146" s="10"/>
      <c r="G2146" s="10"/>
      <c r="H2146" s="10"/>
      <c r="I2146" s="9" t="s">
        <v>1658</v>
      </c>
      <c r="J2146" s="9" t="s">
        <v>1659</v>
      </c>
      <c r="K2146" s="17">
        <f t="shared" si="69"/>
        <v>0.70866844598926348</v>
      </c>
    </row>
    <row r="2147" spans="1:11" x14ac:dyDescent="0.2">
      <c r="A2147" t="s">
        <v>1666</v>
      </c>
      <c r="B2147">
        <v>2011</v>
      </c>
      <c r="C2147" t="s">
        <v>286</v>
      </c>
      <c r="D2147" t="s">
        <v>1667</v>
      </c>
      <c r="E2147" s="5">
        <v>1</v>
      </c>
      <c r="I2147" t="s">
        <v>1668</v>
      </c>
      <c r="J2147" t="s">
        <v>1669</v>
      </c>
      <c r="K2147" s="6">
        <f t="shared" si="69"/>
        <v>1</v>
      </c>
    </row>
    <row r="2148" spans="1:11" x14ac:dyDescent="0.2">
      <c r="A2148" t="s">
        <v>1666</v>
      </c>
      <c r="B2148">
        <v>2012</v>
      </c>
      <c r="C2148" t="s">
        <v>1670</v>
      </c>
      <c r="D2148" t="s">
        <v>1667</v>
      </c>
      <c r="E2148" s="5">
        <v>1</v>
      </c>
      <c r="I2148" t="s">
        <v>1668</v>
      </c>
      <c r="J2148" t="s">
        <v>1669</v>
      </c>
      <c r="K2148" s="6">
        <f t="shared" si="69"/>
        <v>1</v>
      </c>
    </row>
    <row r="2149" spans="1:11" x14ac:dyDescent="0.2">
      <c r="A2149" t="s">
        <v>1666</v>
      </c>
      <c r="B2149">
        <v>2013</v>
      </c>
      <c r="C2149" t="s">
        <v>1670</v>
      </c>
      <c r="D2149" t="s">
        <v>1667</v>
      </c>
      <c r="E2149" s="5">
        <v>1</v>
      </c>
      <c r="I2149" t="s">
        <v>1668</v>
      </c>
      <c r="J2149" t="s">
        <v>1669</v>
      </c>
      <c r="K2149" s="6">
        <f t="shared" si="69"/>
        <v>1</v>
      </c>
    </row>
    <row r="2150" spans="1:11" x14ac:dyDescent="0.2">
      <c r="A2150" t="s">
        <v>1666</v>
      </c>
      <c r="B2150">
        <v>2014</v>
      </c>
      <c r="C2150" t="s">
        <v>1670</v>
      </c>
      <c r="D2150" t="s">
        <v>1667</v>
      </c>
      <c r="E2150" s="5">
        <v>1</v>
      </c>
      <c r="I2150" t="s">
        <v>1668</v>
      </c>
      <c r="J2150" t="s">
        <v>1669</v>
      </c>
      <c r="K2150" s="6">
        <f t="shared" si="69"/>
        <v>1</v>
      </c>
    </row>
    <row r="2151" spans="1:11" x14ac:dyDescent="0.2">
      <c r="A2151" t="s">
        <v>1666</v>
      </c>
      <c r="B2151">
        <v>2015</v>
      </c>
      <c r="C2151" t="s">
        <v>1670</v>
      </c>
      <c r="D2151" t="s">
        <v>1667</v>
      </c>
      <c r="E2151" s="5">
        <v>1</v>
      </c>
      <c r="I2151" t="s">
        <v>1668</v>
      </c>
      <c r="J2151" t="s">
        <v>1669</v>
      </c>
      <c r="K2151" s="6">
        <f t="shared" si="69"/>
        <v>1</v>
      </c>
    </row>
    <row r="2152" spans="1:11" x14ac:dyDescent="0.2">
      <c r="A2152" t="s">
        <v>1666</v>
      </c>
      <c r="B2152">
        <v>2016</v>
      </c>
      <c r="C2152" t="s">
        <v>1670</v>
      </c>
      <c r="D2152" t="s">
        <v>1667</v>
      </c>
      <c r="E2152" s="5">
        <v>1</v>
      </c>
      <c r="I2152" t="s">
        <v>1668</v>
      </c>
      <c r="J2152" t="s">
        <v>1669</v>
      </c>
      <c r="K2152" s="6">
        <f t="shared" si="69"/>
        <v>1</v>
      </c>
    </row>
    <row r="2153" spans="1:11" x14ac:dyDescent="0.2">
      <c r="A2153" t="s">
        <v>1666</v>
      </c>
      <c r="B2153">
        <v>2017</v>
      </c>
      <c r="C2153" t="s">
        <v>1670</v>
      </c>
      <c r="D2153" t="s">
        <v>1670</v>
      </c>
      <c r="E2153" s="5">
        <v>1</v>
      </c>
      <c r="I2153" t="s">
        <v>1668</v>
      </c>
      <c r="J2153" t="s">
        <v>1671</v>
      </c>
      <c r="K2153" s="6">
        <f t="shared" si="69"/>
        <v>1</v>
      </c>
    </row>
    <row r="2154" spans="1:11" x14ac:dyDescent="0.2">
      <c r="A2154" s="8" t="s">
        <v>1666</v>
      </c>
      <c r="B2154">
        <v>2018</v>
      </c>
      <c r="C2154" s="8" t="s">
        <v>1672</v>
      </c>
      <c r="D2154" t="s">
        <v>1670</v>
      </c>
      <c r="E2154" s="7">
        <v>1</v>
      </c>
      <c r="F2154" s="12"/>
      <c r="G2154" s="12"/>
      <c r="H2154" s="12"/>
      <c r="I2154" t="s">
        <v>1668</v>
      </c>
      <c r="J2154" t="s">
        <v>1673</v>
      </c>
      <c r="K2154" s="6">
        <f t="shared" si="69"/>
        <v>1</v>
      </c>
    </row>
    <row r="2155" spans="1:11" x14ac:dyDescent="0.2">
      <c r="A2155" t="s">
        <v>1666</v>
      </c>
      <c r="B2155">
        <v>2018</v>
      </c>
      <c r="C2155" s="8" t="s">
        <v>1672</v>
      </c>
      <c r="D2155" t="s">
        <v>1670</v>
      </c>
      <c r="E2155" s="7">
        <v>1</v>
      </c>
      <c r="F2155" s="12"/>
      <c r="G2155" s="12"/>
      <c r="H2155" s="12"/>
      <c r="I2155" t="s">
        <v>1668</v>
      </c>
      <c r="J2155" t="s">
        <v>1673</v>
      </c>
      <c r="K2155" s="6">
        <f t="shared" si="69"/>
        <v>1</v>
      </c>
    </row>
    <row r="2156" spans="1:11" x14ac:dyDescent="0.2">
      <c r="A2156" t="s">
        <v>1666</v>
      </c>
      <c r="B2156">
        <v>2018</v>
      </c>
      <c r="C2156" t="s">
        <v>1667</v>
      </c>
      <c r="D2156" t="s">
        <v>1667</v>
      </c>
      <c r="E2156" s="7">
        <v>1</v>
      </c>
      <c r="F2156" s="12"/>
      <c r="G2156" s="12"/>
      <c r="H2156" s="12"/>
      <c r="I2156" t="s">
        <v>1668</v>
      </c>
      <c r="J2156" t="s">
        <v>1673</v>
      </c>
      <c r="K2156" s="6">
        <f t="shared" si="69"/>
        <v>1</v>
      </c>
    </row>
    <row r="2157" spans="1:11" x14ac:dyDescent="0.2">
      <c r="A2157" s="9" t="s">
        <v>1666</v>
      </c>
      <c r="B2157" s="9">
        <v>2019</v>
      </c>
      <c r="C2157" s="9" t="s">
        <v>1670</v>
      </c>
      <c r="D2157" s="9" t="s">
        <v>1670</v>
      </c>
      <c r="E2157" s="10">
        <v>1</v>
      </c>
      <c r="F2157" s="13"/>
      <c r="G2157" s="13"/>
      <c r="H2157" s="13"/>
      <c r="I2157" s="9" t="s">
        <v>1668</v>
      </c>
      <c r="J2157" s="9" t="s">
        <v>1673</v>
      </c>
      <c r="K2157" s="6">
        <f t="shared" si="69"/>
        <v>1</v>
      </c>
    </row>
    <row r="2158" spans="1:11" x14ac:dyDescent="0.2">
      <c r="A2158" t="s">
        <v>1674</v>
      </c>
      <c r="B2158">
        <v>2018</v>
      </c>
      <c r="C2158" t="s">
        <v>1674</v>
      </c>
      <c r="D2158" t="s">
        <v>1674</v>
      </c>
      <c r="E2158" s="7">
        <f>62158345/82579446</f>
        <v>0.7527096391516116</v>
      </c>
      <c r="F2158" s="7"/>
      <c r="G2158" s="7"/>
      <c r="H2158" s="7">
        <f>20418386/82579446</f>
        <v>0.24725748341784709</v>
      </c>
      <c r="I2158" t="s">
        <v>1675</v>
      </c>
      <c r="J2158" t="s">
        <v>1676</v>
      </c>
      <c r="K2158" s="6">
        <f t="shared" si="69"/>
        <v>0.99996712256945863</v>
      </c>
    </row>
    <row r="2159" spans="1:11" x14ac:dyDescent="0.2">
      <c r="A2159" t="s">
        <v>1674</v>
      </c>
      <c r="B2159">
        <v>2018</v>
      </c>
      <c r="C2159" t="s">
        <v>1674</v>
      </c>
      <c r="D2159" t="s">
        <v>1674</v>
      </c>
      <c r="E2159" s="7">
        <f>62158345/82579446</f>
        <v>0.7527096391516116</v>
      </c>
      <c r="F2159" s="7"/>
      <c r="G2159" s="7"/>
      <c r="H2159" s="7">
        <f>20418386/82579446</f>
        <v>0.24725748341784709</v>
      </c>
      <c r="I2159" t="s">
        <v>1675</v>
      </c>
      <c r="J2159" t="s">
        <v>1676</v>
      </c>
      <c r="K2159" s="6">
        <f t="shared" si="69"/>
        <v>0.99996712256945863</v>
      </c>
    </row>
    <row r="2160" spans="1:11" x14ac:dyDescent="0.2">
      <c r="A2160" t="s">
        <v>1674</v>
      </c>
      <c r="B2160">
        <v>2015</v>
      </c>
      <c r="C2160" t="s">
        <v>1677</v>
      </c>
      <c r="D2160" t="s">
        <v>1677</v>
      </c>
      <c r="E2160" s="5">
        <f>59350944/(38205905+59350944+40000)</f>
        <v>0.6081235675959169</v>
      </c>
      <c r="H2160" s="5">
        <f>38205905/(38205905+59350944+40000)</f>
        <v>0.39146658310659188</v>
      </c>
      <c r="I2160" t="s">
        <v>1678</v>
      </c>
      <c r="J2160" t="s">
        <v>1679</v>
      </c>
      <c r="K2160" s="6">
        <f t="shared" si="69"/>
        <v>0.99959015070250878</v>
      </c>
    </row>
    <row r="2161" spans="1:11" x14ac:dyDescent="0.2">
      <c r="A2161" t="s">
        <v>1674</v>
      </c>
      <c r="B2161">
        <v>2016</v>
      </c>
      <c r="C2161" t="s">
        <v>1677</v>
      </c>
      <c r="D2161" t="s">
        <v>1677</v>
      </c>
      <c r="E2161" s="5">
        <f>(32846775+18068133)/(27700975+6787041+32846775+18068133+74997)</f>
        <v>0.59564981698607289</v>
      </c>
      <c r="H2161" s="5">
        <f>(27700975+6787041)/(27700975+6787041+32846775+18068133+74997)</f>
        <v>0.40347279854876206</v>
      </c>
      <c r="I2161" t="s">
        <v>1675</v>
      </c>
      <c r="J2161" t="s">
        <v>1680</v>
      </c>
      <c r="K2161" s="6">
        <f t="shared" si="69"/>
        <v>0.99912261553483495</v>
      </c>
    </row>
    <row r="2162" spans="1:11" x14ac:dyDescent="0.2">
      <c r="A2162" t="s">
        <v>1674</v>
      </c>
      <c r="B2162">
        <v>2017</v>
      </c>
      <c r="C2162" t="s">
        <v>1677</v>
      </c>
      <c r="D2162" t="s">
        <v>1677</v>
      </c>
      <c r="E2162" s="5">
        <f>(48779070+24396871)/(13991865+4908630+48779070+24396871+121535)</f>
        <v>0.79368276987353659</v>
      </c>
      <c r="H2162" s="5">
        <f>(13991865+4908630)/(13991865+4908630+48779070+24396871+121535)</f>
        <v>0.20499903408937276</v>
      </c>
      <c r="I2162" t="s">
        <v>1675</v>
      </c>
      <c r="J2162" t="s">
        <v>1680</v>
      </c>
      <c r="K2162" s="6">
        <f t="shared" si="69"/>
        <v>0.99868180396290929</v>
      </c>
    </row>
    <row r="2163" spans="1:11" x14ac:dyDescent="0.2">
      <c r="A2163" s="8" t="s">
        <v>1674</v>
      </c>
      <c r="B2163">
        <v>2018</v>
      </c>
      <c r="C2163" s="8" t="s">
        <v>1674</v>
      </c>
      <c r="D2163" t="s">
        <v>1677</v>
      </c>
      <c r="E2163" s="7">
        <f>62158345/82579446</f>
        <v>0.7527096391516116</v>
      </c>
      <c r="F2163" s="7"/>
      <c r="G2163" s="7"/>
      <c r="H2163" s="7">
        <f>20418386/82579446</f>
        <v>0.24725748341784709</v>
      </c>
      <c r="I2163" t="s">
        <v>1675</v>
      </c>
      <c r="J2163" t="s">
        <v>1676</v>
      </c>
      <c r="K2163" s="6">
        <f t="shared" si="69"/>
        <v>0.99996712256945863</v>
      </c>
    </row>
    <row r="2164" spans="1:11" x14ac:dyDescent="0.2">
      <c r="A2164" t="s">
        <v>1674</v>
      </c>
      <c r="B2164">
        <v>2018</v>
      </c>
      <c r="C2164" s="8" t="s">
        <v>1674</v>
      </c>
      <c r="D2164" t="s">
        <v>1677</v>
      </c>
      <c r="E2164" s="7">
        <f>62158345/82579446</f>
        <v>0.7527096391516116</v>
      </c>
      <c r="F2164" s="7"/>
      <c r="G2164" s="7"/>
      <c r="H2164" s="7">
        <f>20418386/82579446</f>
        <v>0.24725748341784709</v>
      </c>
      <c r="I2164" t="s">
        <v>1675</v>
      </c>
      <c r="J2164" t="s">
        <v>1676</v>
      </c>
      <c r="K2164" s="6">
        <f t="shared" si="69"/>
        <v>0.99996712256945863</v>
      </c>
    </row>
    <row r="2165" spans="1:11" x14ac:dyDescent="0.2">
      <c r="A2165" t="s">
        <v>1674</v>
      </c>
      <c r="B2165">
        <v>2018</v>
      </c>
      <c r="C2165" t="s">
        <v>1677</v>
      </c>
      <c r="D2165" t="s">
        <v>1677</v>
      </c>
      <c r="E2165" s="7">
        <f>62158345/82579446</f>
        <v>0.7527096391516116</v>
      </c>
      <c r="F2165" s="7"/>
      <c r="G2165" s="7"/>
      <c r="H2165" s="7">
        <f>20418386/82579446</f>
        <v>0.24725748341784709</v>
      </c>
      <c r="I2165" t="s">
        <v>1675</v>
      </c>
      <c r="J2165" t="s">
        <v>1676</v>
      </c>
      <c r="K2165" s="6">
        <f t="shared" si="69"/>
        <v>0.99996712256945863</v>
      </c>
    </row>
    <row r="2166" spans="1:11" x14ac:dyDescent="0.2">
      <c r="A2166" s="9" t="s">
        <v>1674</v>
      </c>
      <c r="B2166" s="9">
        <v>2019</v>
      </c>
      <c r="C2166" s="9" t="s">
        <v>1677</v>
      </c>
      <c r="D2166" s="9" t="s">
        <v>1677</v>
      </c>
      <c r="E2166" s="10">
        <f>62158345/82579446</f>
        <v>0.7527096391516116</v>
      </c>
      <c r="F2166" s="10"/>
      <c r="G2166" s="10"/>
      <c r="H2166" s="10">
        <f>20418386/82579446</f>
        <v>0.24725748341784709</v>
      </c>
      <c r="I2166" s="9" t="s">
        <v>1675</v>
      </c>
      <c r="J2166" s="9" t="s">
        <v>1676</v>
      </c>
      <c r="K2166" s="17">
        <f t="shared" si="69"/>
        <v>0.99996712256945863</v>
      </c>
    </row>
    <row r="2167" spans="1:11" x14ac:dyDescent="0.2">
      <c r="A2167" t="s">
        <v>1674</v>
      </c>
      <c r="B2167">
        <v>2015</v>
      </c>
      <c r="C2167" t="s">
        <v>1677</v>
      </c>
      <c r="D2167" t="s">
        <v>1681</v>
      </c>
      <c r="E2167" s="5">
        <v>1</v>
      </c>
      <c r="I2167" t="s">
        <v>1682</v>
      </c>
      <c r="J2167" t="s">
        <v>1683</v>
      </c>
      <c r="K2167" s="6">
        <f t="shared" si="69"/>
        <v>1</v>
      </c>
    </row>
    <row r="2168" spans="1:11" x14ac:dyDescent="0.2">
      <c r="A2168" t="s">
        <v>1684</v>
      </c>
      <c r="B2168">
        <v>2012</v>
      </c>
      <c r="C2168" t="s">
        <v>1685</v>
      </c>
      <c r="D2168" t="s">
        <v>1685</v>
      </c>
      <c r="E2168" s="11">
        <f>736/3942</f>
        <v>0.18670725520040587</v>
      </c>
      <c r="F2168" s="11"/>
      <c r="G2168" s="11"/>
      <c r="H2168" s="11">
        <f>172/3942</f>
        <v>4.3632673769660069E-2</v>
      </c>
      <c r="I2168" t="s">
        <v>1686</v>
      </c>
      <c r="J2168" t="s">
        <v>1687</v>
      </c>
      <c r="K2168" s="6">
        <f t="shared" si="69"/>
        <v>0.23033992897006594</v>
      </c>
    </row>
    <row r="2169" spans="1:11" x14ac:dyDescent="0.2">
      <c r="A2169" t="s">
        <v>1684</v>
      </c>
      <c r="B2169">
        <v>2014</v>
      </c>
      <c r="C2169" t="s">
        <v>1685</v>
      </c>
      <c r="D2169" t="s">
        <v>1685</v>
      </c>
      <c r="E2169" s="5">
        <f>55047/(55047+260)</f>
        <v>0.99529896758095715</v>
      </c>
      <c r="H2169" s="5">
        <v>0</v>
      </c>
      <c r="I2169" t="s">
        <v>1688</v>
      </c>
      <c r="J2169" t="s">
        <v>1689</v>
      </c>
      <c r="K2169" s="6">
        <f t="shared" si="69"/>
        <v>0.99529896758095715</v>
      </c>
    </row>
    <row r="2170" spans="1:11" x14ac:dyDescent="0.2">
      <c r="A2170" t="s">
        <v>1684</v>
      </c>
      <c r="B2170">
        <v>2016</v>
      </c>
      <c r="C2170" t="s">
        <v>1685</v>
      </c>
      <c r="D2170" t="s">
        <v>1685</v>
      </c>
      <c r="E2170" s="5">
        <f>464/(464+462+1105)</f>
        <v>0.22845888724766125</v>
      </c>
      <c r="H2170" s="5">
        <f>0/(464+462+1105)</f>
        <v>0</v>
      </c>
      <c r="I2170" t="s">
        <v>1690</v>
      </c>
      <c r="J2170" t="s">
        <v>1691</v>
      </c>
      <c r="K2170" s="6">
        <f t="shared" si="69"/>
        <v>0.22845888724766125</v>
      </c>
    </row>
    <row r="2171" spans="1:11" x14ac:dyDescent="0.2">
      <c r="A2171" t="s">
        <v>1684</v>
      </c>
      <c r="B2171">
        <v>2017</v>
      </c>
      <c r="C2171" t="s">
        <v>1685</v>
      </c>
      <c r="D2171" t="s">
        <v>1685</v>
      </c>
      <c r="E2171" s="5">
        <f>14/(14+127+49+6138+3)</f>
        <v>2.2113410203759279E-3</v>
      </c>
      <c r="H2171" s="5">
        <f>0/(14+127+49+6138+3)</f>
        <v>0</v>
      </c>
      <c r="I2171" t="s">
        <v>1690</v>
      </c>
      <c r="J2171" t="s">
        <v>1691</v>
      </c>
      <c r="K2171" s="6">
        <f t="shared" si="69"/>
        <v>2.2113410203759279E-3</v>
      </c>
    </row>
    <row r="2172" spans="1:11" x14ac:dyDescent="0.2">
      <c r="A2172" s="8" t="s">
        <v>1684</v>
      </c>
      <c r="B2172">
        <v>2018</v>
      </c>
      <c r="C2172" s="8" t="s">
        <v>1692</v>
      </c>
      <c r="D2172" t="s">
        <v>1693</v>
      </c>
      <c r="E2172" s="7">
        <f>18/(0+18+35+0+3450)</f>
        <v>5.1384527547816156E-3</v>
      </c>
      <c r="F2172" s="7"/>
      <c r="G2172" s="7"/>
      <c r="H2172" s="7">
        <f>0/(0+18+35+0+3450)</f>
        <v>0</v>
      </c>
      <c r="I2172" t="s">
        <v>1690</v>
      </c>
      <c r="J2172" t="s">
        <v>1694</v>
      </c>
      <c r="K2172" s="6">
        <f t="shared" si="69"/>
        <v>5.1384527547816156E-3</v>
      </c>
    </row>
    <row r="2173" spans="1:11" x14ac:dyDescent="0.2">
      <c r="A2173" t="s">
        <v>1684</v>
      </c>
      <c r="B2173">
        <v>2018</v>
      </c>
      <c r="C2173" s="8" t="s">
        <v>1692</v>
      </c>
      <c r="D2173" t="s">
        <v>1693</v>
      </c>
      <c r="E2173" s="7">
        <f>18/(0+18+35+0+3450)</f>
        <v>5.1384527547816156E-3</v>
      </c>
      <c r="F2173" s="7"/>
      <c r="G2173" s="7"/>
      <c r="H2173" s="7">
        <f>0/(0+18+35+0+3450)</f>
        <v>0</v>
      </c>
      <c r="I2173" t="s">
        <v>1690</v>
      </c>
      <c r="J2173" t="s">
        <v>1694</v>
      </c>
      <c r="K2173" s="6">
        <f t="shared" si="69"/>
        <v>5.1384527547816156E-3</v>
      </c>
    </row>
    <row r="2174" spans="1:11" x14ac:dyDescent="0.2">
      <c r="A2174" t="s">
        <v>1684</v>
      </c>
      <c r="B2174">
        <v>2018</v>
      </c>
      <c r="C2174" t="s">
        <v>1685</v>
      </c>
      <c r="D2174" t="s">
        <v>1685</v>
      </c>
      <c r="E2174" s="7">
        <f>18/(0+18+35+0+3450)</f>
        <v>5.1384527547816156E-3</v>
      </c>
      <c r="F2174" s="7"/>
      <c r="G2174" s="7"/>
      <c r="H2174" s="7">
        <f>0/(0+18+35+0+3450)</f>
        <v>0</v>
      </c>
      <c r="I2174" t="s">
        <v>1690</v>
      </c>
      <c r="J2174" t="s">
        <v>1694</v>
      </c>
      <c r="K2174" s="6">
        <f t="shared" si="69"/>
        <v>5.1384527547816156E-3</v>
      </c>
    </row>
    <row r="2175" spans="1:11" x14ac:dyDescent="0.2">
      <c r="A2175" t="s">
        <v>1695</v>
      </c>
      <c r="B2175">
        <v>2012</v>
      </c>
      <c r="C2175" t="s">
        <v>1696</v>
      </c>
      <c r="D2175" t="s">
        <v>1696</v>
      </c>
      <c r="E2175" s="5">
        <f>26336264/26358153</f>
        <v>0.99916955486220904</v>
      </c>
      <c r="I2175" t="s">
        <v>1697</v>
      </c>
      <c r="J2175" t="s">
        <v>1698</v>
      </c>
      <c r="K2175" s="6">
        <f t="shared" si="69"/>
        <v>0.99916955486220904</v>
      </c>
    </row>
    <row r="2176" spans="1:11" x14ac:dyDescent="0.2">
      <c r="A2176" s="9" t="s">
        <v>1695</v>
      </c>
      <c r="B2176" s="9">
        <v>2016</v>
      </c>
      <c r="C2176" s="9" t="s">
        <v>1696</v>
      </c>
      <c r="D2176" s="9" t="s">
        <v>1699</v>
      </c>
      <c r="E2176" s="10">
        <f>34681025/(34681025+132766)</f>
        <v>0.99618639636229223</v>
      </c>
      <c r="F2176" s="10"/>
      <c r="G2176" s="10"/>
      <c r="H2176" s="10"/>
      <c r="I2176" s="9" t="s">
        <v>1700</v>
      </c>
      <c r="J2176" s="9" t="s">
        <v>1701</v>
      </c>
      <c r="K2176" s="6">
        <f t="shared" si="69"/>
        <v>0.99618639636229223</v>
      </c>
    </row>
    <row r="2177" spans="1:11" x14ac:dyDescent="0.2">
      <c r="A2177" t="s">
        <v>1695</v>
      </c>
      <c r="B2177">
        <v>2014</v>
      </c>
      <c r="C2177" t="s">
        <v>1696</v>
      </c>
      <c r="D2177" t="s">
        <v>1702</v>
      </c>
      <c r="E2177" s="5">
        <f>23420880/23563365</f>
        <v>0.99395311323319058</v>
      </c>
      <c r="I2177" t="s">
        <v>1703</v>
      </c>
      <c r="J2177" t="s">
        <v>1704</v>
      </c>
      <c r="K2177" s="6">
        <f t="shared" si="69"/>
        <v>0.99395311323319058</v>
      </c>
    </row>
    <row r="2178" spans="1:11" x14ac:dyDescent="0.2">
      <c r="A2178" t="s">
        <v>1695</v>
      </c>
      <c r="B2178">
        <v>2015</v>
      </c>
      <c r="C2178" t="s">
        <v>1696</v>
      </c>
      <c r="D2178" t="s">
        <v>1705</v>
      </c>
      <c r="E2178" s="5">
        <f>34681025/34813791</f>
        <v>0.99618639636229223</v>
      </c>
      <c r="I2178" t="s">
        <v>1703</v>
      </c>
      <c r="J2178" t="s">
        <v>1701</v>
      </c>
      <c r="K2178" s="6">
        <f t="shared" si="69"/>
        <v>0.99618639636229223</v>
      </c>
    </row>
    <row r="2179" spans="1:11" x14ac:dyDescent="0.2">
      <c r="A2179" s="8" t="s">
        <v>1706</v>
      </c>
      <c r="B2179">
        <v>2011</v>
      </c>
      <c r="C2179" s="8" t="s">
        <v>1707</v>
      </c>
      <c r="D2179" t="s">
        <v>1708</v>
      </c>
      <c r="E2179" s="11">
        <v>1</v>
      </c>
      <c r="I2179" t="s">
        <v>1709</v>
      </c>
      <c r="J2179" t="s">
        <v>1710</v>
      </c>
      <c r="K2179" s="6">
        <f t="shared" si="69"/>
        <v>1</v>
      </c>
    </row>
    <row r="2180" spans="1:11" x14ac:dyDescent="0.2">
      <c r="A2180" s="8" t="s">
        <v>1706</v>
      </c>
      <c r="B2180">
        <v>2016</v>
      </c>
      <c r="C2180" s="8" t="s">
        <v>1707</v>
      </c>
      <c r="D2180" t="s">
        <v>1708</v>
      </c>
      <c r="E2180" s="11">
        <v>1</v>
      </c>
      <c r="I2180" t="s">
        <v>1709</v>
      </c>
      <c r="J2180" t="s">
        <v>1710</v>
      </c>
      <c r="K2180" s="6">
        <f t="shared" si="69"/>
        <v>1</v>
      </c>
    </row>
    <row r="2181" spans="1:11" x14ac:dyDescent="0.2">
      <c r="A2181" s="8" t="s">
        <v>1706</v>
      </c>
      <c r="B2181">
        <v>2015</v>
      </c>
      <c r="C2181" s="8" t="s">
        <v>1707</v>
      </c>
      <c r="D2181" t="s">
        <v>1711</v>
      </c>
      <c r="E2181" s="11">
        <v>1</v>
      </c>
      <c r="I2181" t="s">
        <v>1709</v>
      </c>
      <c r="J2181" t="s">
        <v>1710</v>
      </c>
      <c r="K2181" s="6">
        <f t="shared" si="69"/>
        <v>1</v>
      </c>
    </row>
    <row r="2182" spans="1:11" x14ac:dyDescent="0.2">
      <c r="A2182" t="s">
        <v>1706</v>
      </c>
      <c r="B2182">
        <v>2018</v>
      </c>
      <c r="C2182" t="s">
        <v>1707</v>
      </c>
      <c r="D2182" t="s">
        <v>1711</v>
      </c>
      <c r="E2182" s="11">
        <v>1</v>
      </c>
      <c r="I2182" t="s">
        <v>1709</v>
      </c>
      <c r="J2182" t="s">
        <v>1712</v>
      </c>
      <c r="K2182" s="6">
        <f t="shared" si="69"/>
        <v>1</v>
      </c>
    </row>
    <row r="2183" spans="1:11" x14ac:dyDescent="0.2">
      <c r="A2183" s="8" t="s">
        <v>1706</v>
      </c>
      <c r="B2183">
        <v>2014</v>
      </c>
      <c r="C2183" s="8" t="s">
        <v>1707</v>
      </c>
      <c r="D2183" t="s">
        <v>1713</v>
      </c>
      <c r="E2183" s="11">
        <v>1</v>
      </c>
      <c r="I2183" t="s">
        <v>1709</v>
      </c>
      <c r="J2183" t="s">
        <v>1710</v>
      </c>
      <c r="K2183" s="6">
        <f t="shared" si="69"/>
        <v>1</v>
      </c>
    </row>
    <row r="2184" spans="1:11" x14ac:dyDescent="0.2">
      <c r="A2184" s="8" t="s">
        <v>1706</v>
      </c>
      <c r="B2184">
        <v>2016</v>
      </c>
      <c r="C2184" s="8" t="s">
        <v>1707</v>
      </c>
      <c r="D2184" t="s">
        <v>1713</v>
      </c>
      <c r="E2184" s="11">
        <v>1</v>
      </c>
      <c r="I2184" s="5" t="s">
        <v>1714</v>
      </c>
      <c r="J2184" t="s">
        <v>1715</v>
      </c>
      <c r="K2184" s="6">
        <f t="shared" si="69"/>
        <v>1</v>
      </c>
    </row>
    <row r="2185" spans="1:11" x14ac:dyDescent="0.2">
      <c r="A2185" s="8" t="s">
        <v>1706</v>
      </c>
      <c r="B2185">
        <v>2013</v>
      </c>
      <c r="C2185" s="8" t="s">
        <v>1707</v>
      </c>
      <c r="D2185" t="s">
        <v>1716</v>
      </c>
      <c r="E2185" s="11">
        <v>1</v>
      </c>
      <c r="I2185" s="5" t="s">
        <v>1714</v>
      </c>
      <c r="J2185" t="s">
        <v>1715</v>
      </c>
      <c r="K2185" s="6">
        <f t="shared" si="69"/>
        <v>1</v>
      </c>
    </row>
    <row r="2186" spans="1:11" x14ac:dyDescent="0.2">
      <c r="A2186" s="8" t="s">
        <v>1706</v>
      </c>
      <c r="B2186">
        <v>2011</v>
      </c>
      <c r="C2186" s="8" t="s">
        <v>1707</v>
      </c>
      <c r="D2186" t="s">
        <v>1717</v>
      </c>
      <c r="E2186" s="11">
        <v>1</v>
      </c>
      <c r="I2186" s="5" t="s">
        <v>1714</v>
      </c>
      <c r="J2186" t="s">
        <v>1715</v>
      </c>
      <c r="K2186" s="6">
        <f t="shared" si="69"/>
        <v>1</v>
      </c>
    </row>
    <row r="2187" spans="1:11" x14ac:dyDescent="0.2">
      <c r="A2187" s="8" t="s">
        <v>1706</v>
      </c>
      <c r="B2187">
        <v>2013</v>
      </c>
      <c r="C2187" s="8" t="s">
        <v>1707</v>
      </c>
      <c r="D2187" t="s">
        <v>1717</v>
      </c>
      <c r="E2187" s="11">
        <v>1</v>
      </c>
      <c r="I2187" s="5" t="s">
        <v>1714</v>
      </c>
      <c r="J2187" t="s">
        <v>1715</v>
      </c>
      <c r="K2187" s="6">
        <f t="shared" si="69"/>
        <v>1</v>
      </c>
    </row>
    <row r="2188" spans="1:11" x14ac:dyDescent="0.2">
      <c r="A2188" s="8" t="s">
        <v>1706</v>
      </c>
      <c r="B2188">
        <v>2014</v>
      </c>
      <c r="C2188" s="8" t="s">
        <v>1707</v>
      </c>
      <c r="D2188" t="s">
        <v>1717</v>
      </c>
      <c r="E2188" s="11">
        <v>1</v>
      </c>
      <c r="I2188" s="5" t="s">
        <v>1714</v>
      </c>
      <c r="J2188" t="s">
        <v>1715</v>
      </c>
      <c r="K2188" s="6">
        <f t="shared" si="69"/>
        <v>1</v>
      </c>
    </row>
    <row r="2189" spans="1:11" x14ac:dyDescent="0.2">
      <c r="A2189" s="8" t="s">
        <v>1706</v>
      </c>
      <c r="B2189">
        <v>2015</v>
      </c>
      <c r="C2189" s="8" t="s">
        <v>1707</v>
      </c>
      <c r="D2189" t="s">
        <v>1717</v>
      </c>
      <c r="E2189" s="11">
        <v>1</v>
      </c>
      <c r="I2189" s="5" t="s">
        <v>1714</v>
      </c>
      <c r="J2189" t="s">
        <v>1715</v>
      </c>
      <c r="K2189" s="6">
        <f t="shared" si="69"/>
        <v>1</v>
      </c>
    </row>
    <row r="2190" spans="1:11" x14ac:dyDescent="0.2">
      <c r="A2190" s="8" t="s">
        <v>1706</v>
      </c>
      <c r="B2190">
        <v>2016</v>
      </c>
      <c r="C2190" s="8" t="s">
        <v>1707</v>
      </c>
      <c r="D2190" t="s">
        <v>1717</v>
      </c>
      <c r="E2190" s="11">
        <v>1</v>
      </c>
      <c r="I2190" s="5" t="s">
        <v>1714</v>
      </c>
      <c r="J2190" t="s">
        <v>1715</v>
      </c>
      <c r="K2190" s="6">
        <f t="shared" si="69"/>
        <v>1</v>
      </c>
    </row>
    <row r="2191" spans="1:11" x14ac:dyDescent="0.2">
      <c r="A2191" s="8" t="s">
        <v>1706</v>
      </c>
      <c r="B2191">
        <v>2017</v>
      </c>
      <c r="C2191" s="8" t="s">
        <v>1707</v>
      </c>
      <c r="D2191" t="s">
        <v>1717</v>
      </c>
      <c r="E2191" s="11">
        <v>1</v>
      </c>
      <c r="I2191" s="5" t="s">
        <v>1714</v>
      </c>
      <c r="J2191" t="s">
        <v>1715</v>
      </c>
      <c r="K2191" s="6">
        <f t="shared" si="69"/>
        <v>1</v>
      </c>
    </row>
    <row r="2192" spans="1:11" x14ac:dyDescent="0.2">
      <c r="A2192" s="8" t="s">
        <v>1706</v>
      </c>
      <c r="B2192">
        <v>2018</v>
      </c>
      <c r="C2192" s="8" t="s">
        <v>1707</v>
      </c>
      <c r="D2192" t="s">
        <v>1717</v>
      </c>
      <c r="E2192" s="12">
        <v>1</v>
      </c>
      <c r="F2192" s="7"/>
      <c r="G2192" s="7"/>
      <c r="H2192" s="7"/>
      <c r="I2192" s="7" t="s">
        <v>1718</v>
      </c>
      <c r="J2192" t="s">
        <v>1719</v>
      </c>
      <c r="K2192" s="6">
        <f t="shared" si="69"/>
        <v>1</v>
      </c>
    </row>
    <row r="2193" spans="1:11" x14ac:dyDescent="0.2">
      <c r="A2193" t="s">
        <v>1706</v>
      </c>
      <c r="B2193">
        <v>2018</v>
      </c>
      <c r="C2193" s="8" t="s">
        <v>1707</v>
      </c>
      <c r="D2193" t="s">
        <v>1717</v>
      </c>
      <c r="E2193" s="18">
        <v>1</v>
      </c>
      <c r="F2193" s="18"/>
      <c r="G2193" s="18"/>
      <c r="H2193" s="18"/>
      <c r="I2193" s="7" t="s">
        <v>1718</v>
      </c>
      <c r="J2193" t="s">
        <v>1719</v>
      </c>
      <c r="K2193" s="6">
        <f t="shared" si="69"/>
        <v>1</v>
      </c>
    </row>
    <row r="2194" spans="1:11" x14ac:dyDescent="0.2">
      <c r="A2194" t="s">
        <v>1706</v>
      </c>
      <c r="B2194">
        <v>2018</v>
      </c>
      <c r="C2194" t="s">
        <v>1720</v>
      </c>
      <c r="D2194" t="s">
        <v>1720</v>
      </c>
      <c r="E2194" s="18">
        <v>1</v>
      </c>
      <c r="F2194" s="18"/>
      <c r="G2194" s="18"/>
      <c r="H2194" s="18"/>
      <c r="I2194" s="7" t="s">
        <v>1718</v>
      </c>
      <c r="J2194" t="s">
        <v>1719</v>
      </c>
      <c r="K2194" s="6">
        <f t="shared" si="69"/>
        <v>1</v>
      </c>
    </row>
    <row r="2195" spans="1:11" x14ac:dyDescent="0.2">
      <c r="A2195" t="s">
        <v>1706</v>
      </c>
      <c r="B2195">
        <v>2018</v>
      </c>
      <c r="C2195" s="8" t="s">
        <v>1707</v>
      </c>
      <c r="D2195" t="s">
        <v>1717</v>
      </c>
      <c r="E2195" s="18">
        <v>1</v>
      </c>
      <c r="F2195" s="18"/>
      <c r="G2195" s="18"/>
      <c r="H2195" s="18"/>
      <c r="I2195" s="7" t="s">
        <v>1718</v>
      </c>
      <c r="J2195" t="s">
        <v>1719</v>
      </c>
      <c r="K2195" s="6">
        <f t="shared" ref="K2195:K2258" si="70">SUM(E2195:H2195)</f>
        <v>1</v>
      </c>
    </row>
    <row r="2196" spans="1:11" x14ac:dyDescent="0.2">
      <c r="A2196" t="s">
        <v>1706</v>
      </c>
      <c r="B2196">
        <v>2018</v>
      </c>
      <c r="C2196" t="s">
        <v>1720</v>
      </c>
      <c r="D2196" t="s">
        <v>1720</v>
      </c>
      <c r="E2196" s="18">
        <v>1</v>
      </c>
      <c r="F2196" s="18"/>
      <c r="G2196" s="18"/>
      <c r="H2196" s="18"/>
      <c r="I2196" s="7" t="s">
        <v>1718</v>
      </c>
      <c r="J2196" t="s">
        <v>1719</v>
      </c>
      <c r="K2196" s="6">
        <f t="shared" si="70"/>
        <v>1</v>
      </c>
    </row>
    <row r="2197" spans="1:11" x14ac:dyDescent="0.2">
      <c r="A2197" s="9" t="s">
        <v>1706</v>
      </c>
      <c r="B2197" s="9">
        <v>2019</v>
      </c>
      <c r="C2197" s="9" t="s">
        <v>1717</v>
      </c>
      <c r="D2197" s="9" t="s">
        <v>1717</v>
      </c>
      <c r="E2197" s="19">
        <v>1</v>
      </c>
      <c r="F2197" s="19"/>
      <c r="G2197" s="19"/>
      <c r="H2197" s="19"/>
      <c r="I2197" s="10" t="s">
        <v>1718</v>
      </c>
      <c r="J2197" s="9" t="s">
        <v>1719</v>
      </c>
      <c r="K2197" s="6">
        <f t="shared" si="70"/>
        <v>1</v>
      </c>
    </row>
    <row r="2198" spans="1:11" x14ac:dyDescent="0.2">
      <c r="A2198" s="8" t="s">
        <v>1706</v>
      </c>
      <c r="B2198">
        <v>2018</v>
      </c>
      <c r="C2198" s="8" t="s">
        <v>1707</v>
      </c>
      <c r="D2198" t="s">
        <v>1721</v>
      </c>
      <c r="E2198" s="18">
        <v>1</v>
      </c>
      <c r="F2198" s="18"/>
      <c r="G2198" s="18"/>
      <c r="H2198" s="18"/>
      <c r="I2198" s="7" t="s">
        <v>1718</v>
      </c>
      <c r="J2198" t="s">
        <v>1719</v>
      </c>
      <c r="K2198" s="6">
        <f t="shared" si="70"/>
        <v>1</v>
      </c>
    </row>
    <row r="2199" spans="1:11" x14ac:dyDescent="0.2">
      <c r="A2199" s="8" t="s">
        <v>1706</v>
      </c>
      <c r="B2199">
        <v>2018</v>
      </c>
      <c r="C2199" s="8" t="s">
        <v>1707</v>
      </c>
      <c r="D2199" t="s">
        <v>1722</v>
      </c>
      <c r="E2199" s="18">
        <v>1</v>
      </c>
      <c r="F2199" s="18"/>
      <c r="G2199" s="18"/>
      <c r="H2199" s="18"/>
      <c r="I2199" s="7" t="s">
        <v>1718</v>
      </c>
      <c r="J2199" t="s">
        <v>1719</v>
      </c>
      <c r="K2199" s="6">
        <f t="shared" si="70"/>
        <v>1</v>
      </c>
    </row>
    <row r="2200" spans="1:11" x14ac:dyDescent="0.2">
      <c r="A2200" t="s">
        <v>1706</v>
      </c>
      <c r="B2200">
        <v>2018</v>
      </c>
      <c r="C2200" s="8" t="s">
        <v>1707</v>
      </c>
      <c r="D2200" t="s">
        <v>1722</v>
      </c>
      <c r="E2200" s="18">
        <v>1</v>
      </c>
      <c r="F2200" s="18"/>
      <c r="G2200" s="18"/>
      <c r="H2200" s="18"/>
      <c r="I2200" s="7" t="s">
        <v>1718</v>
      </c>
      <c r="J2200" t="s">
        <v>1719</v>
      </c>
      <c r="K2200" s="6">
        <f t="shared" si="70"/>
        <v>1</v>
      </c>
    </row>
    <row r="2201" spans="1:11" x14ac:dyDescent="0.2">
      <c r="A2201" t="s">
        <v>1706</v>
      </c>
      <c r="B2201">
        <v>2018</v>
      </c>
      <c r="C2201" s="8" t="s">
        <v>1707</v>
      </c>
      <c r="D2201" t="s">
        <v>1722</v>
      </c>
      <c r="E2201" s="18">
        <v>1</v>
      </c>
      <c r="F2201" s="18"/>
      <c r="G2201" s="18"/>
      <c r="H2201" s="18"/>
      <c r="I2201" s="7" t="s">
        <v>1718</v>
      </c>
      <c r="J2201" t="s">
        <v>1719</v>
      </c>
      <c r="K2201" s="6">
        <f t="shared" si="70"/>
        <v>1</v>
      </c>
    </row>
    <row r="2202" spans="1:11" x14ac:dyDescent="0.2">
      <c r="A2202" t="s">
        <v>1706</v>
      </c>
      <c r="B2202">
        <v>2018</v>
      </c>
      <c r="C2202" t="s">
        <v>1723</v>
      </c>
      <c r="D2202" t="s">
        <v>1723</v>
      </c>
      <c r="E2202" s="18">
        <v>1</v>
      </c>
      <c r="F2202" s="18"/>
      <c r="G2202" s="18"/>
      <c r="H2202" s="18"/>
      <c r="I2202" s="7" t="s">
        <v>1718</v>
      </c>
      <c r="J2202" t="s">
        <v>1719</v>
      </c>
      <c r="K2202" s="6">
        <f t="shared" si="70"/>
        <v>1</v>
      </c>
    </row>
    <row r="2203" spans="1:11" x14ac:dyDescent="0.2">
      <c r="A2203" t="s">
        <v>1706</v>
      </c>
      <c r="B2203">
        <v>2018</v>
      </c>
      <c r="C2203" t="s">
        <v>1723</v>
      </c>
      <c r="D2203" t="s">
        <v>1723</v>
      </c>
      <c r="E2203" s="18">
        <v>1</v>
      </c>
      <c r="F2203" s="18"/>
      <c r="G2203" s="18"/>
      <c r="H2203" s="18"/>
      <c r="I2203" s="7" t="s">
        <v>1718</v>
      </c>
      <c r="J2203" t="s">
        <v>1719</v>
      </c>
      <c r="K2203" s="6">
        <f t="shared" si="70"/>
        <v>1</v>
      </c>
    </row>
    <row r="2204" spans="1:11" x14ac:dyDescent="0.2">
      <c r="A2204" s="9" t="s">
        <v>1706</v>
      </c>
      <c r="B2204" s="9">
        <v>2019</v>
      </c>
      <c r="C2204" s="9" t="s">
        <v>1723</v>
      </c>
      <c r="D2204" s="9" t="s">
        <v>1723</v>
      </c>
      <c r="E2204" s="19">
        <v>1</v>
      </c>
      <c r="F2204" s="19"/>
      <c r="G2204" s="19"/>
      <c r="H2204" s="19"/>
      <c r="I2204" s="10" t="s">
        <v>1718</v>
      </c>
      <c r="J2204" s="9" t="s">
        <v>1719</v>
      </c>
      <c r="K2204" s="6">
        <f t="shared" si="70"/>
        <v>1</v>
      </c>
    </row>
    <row r="2205" spans="1:11" x14ac:dyDescent="0.2">
      <c r="A2205" s="9" t="s">
        <v>1706</v>
      </c>
      <c r="B2205" s="9">
        <v>2019</v>
      </c>
      <c r="C2205" s="9" t="s">
        <v>1723</v>
      </c>
      <c r="D2205" s="9" t="s">
        <v>1723</v>
      </c>
      <c r="E2205" s="19">
        <v>1</v>
      </c>
      <c r="F2205" s="19"/>
      <c r="G2205" s="19"/>
      <c r="H2205" s="19"/>
      <c r="I2205" s="10" t="s">
        <v>1718</v>
      </c>
      <c r="J2205" s="9" t="s">
        <v>1719</v>
      </c>
      <c r="K2205" s="6">
        <f t="shared" si="70"/>
        <v>1</v>
      </c>
    </row>
    <row r="2206" spans="1:11" x14ac:dyDescent="0.2">
      <c r="A2206" s="8" t="s">
        <v>1706</v>
      </c>
      <c r="B2206">
        <v>2014</v>
      </c>
      <c r="C2206" s="8" t="s">
        <v>1707</v>
      </c>
      <c r="D2206" t="s">
        <v>1724</v>
      </c>
      <c r="E2206" s="11">
        <v>1</v>
      </c>
      <c r="I2206" t="s">
        <v>1709</v>
      </c>
      <c r="J2206" t="s">
        <v>1710</v>
      </c>
      <c r="K2206" s="6">
        <f t="shared" si="70"/>
        <v>1</v>
      </c>
    </row>
    <row r="2207" spans="1:11" x14ac:dyDescent="0.2">
      <c r="A2207" s="8" t="s">
        <v>1706</v>
      </c>
      <c r="B2207">
        <v>2016</v>
      </c>
      <c r="C2207" s="8" t="s">
        <v>1707</v>
      </c>
      <c r="D2207" t="s">
        <v>1724</v>
      </c>
      <c r="E2207" s="11">
        <v>1</v>
      </c>
      <c r="I2207" t="s">
        <v>1709</v>
      </c>
      <c r="J2207" t="s">
        <v>1710</v>
      </c>
      <c r="K2207" s="6">
        <f t="shared" si="70"/>
        <v>1</v>
      </c>
    </row>
    <row r="2208" spans="1:11" x14ac:dyDescent="0.2">
      <c r="A2208" t="s">
        <v>1725</v>
      </c>
      <c r="B2208">
        <v>2013</v>
      </c>
      <c r="C2208" t="s">
        <v>1726</v>
      </c>
      <c r="D2208" t="s">
        <v>1727</v>
      </c>
      <c r="E2208" s="5">
        <f>126679/(126679+50122)</f>
        <v>0.71650612835900251</v>
      </c>
      <c r="I2208" t="s">
        <v>1728</v>
      </c>
      <c r="J2208" t="s">
        <v>1729</v>
      </c>
      <c r="K2208" s="6">
        <f t="shared" si="70"/>
        <v>0.71650612835900251</v>
      </c>
    </row>
    <row r="2209" spans="1:11" x14ac:dyDescent="0.2">
      <c r="A2209" t="s">
        <v>1725</v>
      </c>
      <c r="B2209">
        <v>2014</v>
      </c>
      <c r="C2209" t="s">
        <v>1726</v>
      </c>
      <c r="D2209" t="s">
        <v>1727</v>
      </c>
      <c r="E2209" s="5">
        <f>151351/250491</f>
        <v>0.6042173171890407</v>
      </c>
      <c r="I2209" t="s">
        <v>1728</v>
      </c>
      <c r="J2209" t="s">
        <v>1730</v>
      </c>
      <c r="K2209" s="6">
        <f t="shared" si="70"/>
        <v>0.6042173171890407</v>
      </c>
    </row>
    <row r="2210" spans="1:11" x14ac:dyDescent="0.2">
      <c r="A2210" t="s">
        <v>1725</v>
      </c>
      <c r="B2210">
        <v>2015</v>
      </c>
      <c r="C2210" t="s">
        <v>1726</v>
      </c>
      <c r="D2210" t="s">
        <v>1727</v>
      </c>
      <c r="E2210" s="5">
        <f>235096/(235096+15395)</f>
        <v>0.9385407060533113</v>
      </c>
      <c r="I2210" t="s">
        <v>1728</v>
      </c>
      <c r="J2210" t="s">
        <v>1730</v>
      </c>
      <c r="K2210" s="6">
        <f t="shared" si="70"/>
        <v>0.9385407060533113</v>
      </c>
    </row>
    <row r="2211" spans="1:11" x14ac:dyDescent="0.2">
      <c r="A2211" t="s">
        <v>1725</v>
      </c>
      <c r="B2211">
        <v>2016</v>
      </c>
      <c r="C2211" t="s">
        <v>1726</v>
      </c>
      <c r="D2211" t="s">
        <v>1727</v>
      </c>
      <c r="E2211" s="5">
        <f>119839/127722</f>
        <v>0.93828001440628861</v>
      </c>
      <c r="I2211" t="s">
        <v>1731</v>
      </c>
      <c r="J2211" t="s">
        <v>1732</v>
      </c>
      <c r="K2211" s="6">
        <f t="shared" si="70"/>
        <v>0.93828001440628861</v>
      </c>
    </row>
    <row r="2212" spans="1:11" x14ac:dyDescent="0.2">
      <c r="A2212" t="s">
        <v>1725</v>
      </c>
      <c r="B2212">
        <v>2017</v>
      </c>
      <c r="C2212" t="s">
        <v>1726</v>
      </c>
      <c r="D2212" t="s">
        <v>1727</v>
      </c>
      <c r="E2212" s="5">
        <f>88717/107514</f>
        <v>0.82516695500120918</v>
      </c>
      <c r="I2212" t="s">
        <v>1731</v>
      </c>
      <c r="J2212" t="s">
        <v>1732</v>
      </c>
      <c r="K2212" s="6">
        <f t="shared" si="70"/>
        <v>0.82516695500120918</v>
      </c>
    </row>
    <row r="2213" spans="1:11" x14ac:dyDescent="0.2">
      <c r="A2213" s="8" t="s">
        <v>1725</v>
      </c>
      <c r="B2213">
        <v>2018</v>
      </c>
      <c r="C2213" s="8" t="s">
        <v>1725</v>
      </c>
      <c r="D2213" t="s">
        <v>1726</v>
      </c>
      <c r="E2213" s="7">
        <f>39774/51606</f>
        <v>0.77072433437972332</v>
      </c>
      <c r="F2213" s="7"/>
      <c r="G2213" s="7"/>
      <c r="H2213" s="7"/>
      <c r="I2213" t="s">
        <v>1731</v>
      </c>
      <c r="J2213" t="s">
        <v>1733</v>
      </c>
      <c r="K2213" s="6">
        <f t="shared" si="70"/>
        <v>0.77072433437972332</v>
      </c>
    </row>
    <row r="2214" spans="1:11" x14ac:dyDescent="0.2">
      <c r="A2214" t="s">
        <v>1725</v>
      </c>
      <c r="B2214">
        <v>2018</v>
      </c>
      <c r="C2214" s="8" t="s">
        <v>1725</v>
      </c>
      <c r="D2214" t="s">
        <v>1726</v>
      </c>
      <c r="E2214" s="7">
        <f>39774/51606</f>
        <v>0.77072433437972332</v>
      </c>
      <c r="F2214" s="7"/>
      <c r="G2214" s="7"/>
      <c r="H2214" s="7"/>
      <c r="I2214" t="s">
        <v>1731</v>
      </c>
      <c r="J2214" t="s">
        <v>1733</v>
      </c>
      <c r="K2214" s="6">
        <f t="shared" si="70"/>
        <v>0.77072433437972332</v>
      </c>
    </row>
    <row r="2215" spans="1:11" x14ac:dyDescent="0.2">
      <c r="A2215" s="9" t="s">
        <v>1725</v>
      </c>
      <c r="B2215" s="9">
        <v>2019</v>
      </c>
      <c r="C2215" s="9" t="s">
        <v>1726</v>
      </c>
      <c r="D2215" s="9" t="s">
        <v>1726</v>
      </c>
      <c r="E2215" s="10">
        <f>39774/51606</f>
        <v>0.77072433437972332</v>
      </c>
      <c r="F2215" s="10"/>
      <c r="G2215" s="10"/>
      <c r="H2215" s="10"/>
      <c r="I2215" s="9" t="s">
        <v>1731</v>
      </c>
      <c r="J2215" s="9" t="s">
        <v>1733</v>
      </c>
      <c r="K2215" s="6">
        <f t="shared" si="70"/>
        <v>0.77072433437972332</v>
      </c>
    </row>
    <row r="2216" spans="1:11" x14ac:dyDescent="0.2">
      <c r="A2216" t="s">
        <v>1725</v>
      </c>
      <c r="B2216">
        <v>2016</v>
      </c>
      <c r="C2216" t="s">
        <v>1726</v>
      </c>
      <c r="D2216" t="s">
        <v>1734</v>
      </c>
      <c r="E2216" s="5">
        <f>119839/127722</f>
        <v>0.93828001440628861</v>
      </c>
      <c r="I2216" t="s">
        <v>1735</v>
      </c>
      <c r="J2216" t="s">
        <v>1732</v>
      </c>
      <c r="K2216" s="6">
        <f t="shared" si="70"/>
        <v>0.93828001440628861</v>
      </c>
    </row>
    <row r="2217" spans="1:11" x14ac:dyDescent="0.2">
      <c r="A2217" t="s">
        <v>1725</v>
      </c>
      <c r="B2217">
        <v>2016</v>
      </c>
      <c r="C2217" t="s">
        <v>1726</v>
      </c>
      <c r="D2217" t="s">
        <v>1734</v>
      </c>
      <c r="E2217" s="5">
        <f>119839/127722</f>
        <v>0.93828001440628861</v>
      </c>
      <c r="I2217" t="s">
        <v>1735</v>
      </c>
      <c r="J2217" t="s">
        <v>1732</v>
      </c>
      <c r="K2217" s="6">
        <f t="shared" si="70"/>
        <v>0.93828001440628861</v>
      </c>
    </row>
    <row r="2218" spans="1:11" x14ac:dyDescent="0.2">
      <c r="A2218" s="9" t="s">
        <v>1725</v>
      </c>
      <c r="B2218" s="9">
        <v>2019</v>
      </c>
      <c r="C2218" s="9" t="s">
        <v>1726</v>
      </c>
      <c r="D2218" s="9" t="s">
        <v>1734</v>
      </c>
      <c r="E2218" s="10">
        <f>39774/51606</f>
        <v>0.77072433437972332</v>
      </c>
      <c r="F2218" s="10"/>
      <c r="G2218" s="10"/>
      <c r="H2218" s="10"/>
      <c r="I2218" s="9" t="s">
        <v>1735</v>
      </c>
      <c r="J2218" s="9" t="s">
        <v>1733</v>
      </c>
      <c r="K2218" s="6">
        <f t="shared" si="70"/>
        <v>0.77072433437972332</v>
      </c>
    </row>
    <row r="2219" spans="1:11" x14ac:dyDescent="0.2">
      <c r="A2219" t="s">
        <v>1736</v>
      </c>
      <c r="B2219">
        <v>2012</v>
      </c>
      <c r="C2219" t="s">
        <v>1737</v>
      </c>
      <c r="D2219" t="s">
        <v>1737</v>
      </c>
      <c r="E2219" s="5">
        <f>38552/39681</f>
        <v>0.97154809606612735</v>
      </c>
      <c r="I2219" t="s">
        <v>1738</v>
      </c>
      <c r="J2219" t="s">
        <v>1739</v>
      </c>
      <c r="K2219" s="6">
        <f t="shared" si="70"/>
        <v>0.97154809606612735</v>
      </c>
    </row>
    <row r="2220" spans="1:11" x14ac:dyDescent="0.2">
      <c r="A2220" t="s">
        <v>1736</v>
      </c>
      <c r="B2220">
        <v>2013</v>
      </c>
      <c r="C2220" t="s">
        <v>1737</v>
      </c>
      <c r="D2220" t="s">
        <v>1737</v>
      </c>
      <c r="E2220" s="5">
        <f>200666/230926</f>
        <v>0.86896235157582946</v>
      </c>
      <c r="H2220" s="5">
        <f>29085/230926</f>
        <v>0.12594943834821545</v>
      </c>
      <c r="I2220" t="s">
        <v>1740</v>
      </c>
      <c r="J2220" t="s">
        <v>1741</v>
      </c>
      <c r="K2220" s="6">
        <f t="shared" si="70"/>
        <v>0.99491178992404494</v>
      </c>
    </row>
    <row r="2221" spans="1:11" x14ac:dyDescent="0.2">
      <c r="A2221" t="s">
        <v>1736</v>
      </c>
      <c r="B2221">
        <v>2014</v>
      </c>
      <c r="C2221" t="s">
        <v>1737</v>
      </c>
      <c r="D2221" t="s">
        <v>1737</v>
      </c>
      <c r="E2221" s="5">
        <f>265289/305405</f>
        <v>0.86864655130073176</v>
      </c>
      <c r="H2221" s="5">
        <f>38954/305405</f>
        <v>0.12754866488760827</v>
      </c>
      <c r="I2221" t="s">
        <v>1740</v>
      </c>
      <c r="J2221" t="s">
        <v>1741</v>
      </c>
      <c r="K2221" s="6">
        <f t="shared" si="70"/>
        <v>0.99619521618834006</v>
      </c>
    </row>
    <row r="2222" spans="1:11" x14ac:dyDescent="0.2">
      <c r="A2222" t="s">
        <v>1736</v>
      </c>
      <c r="B2222">
        <v>2015</v>
      </c>
      <c r="C2222" t="s">
        <v>1737</v>
      </c>
      <c r="D2222" t="s">
        <v>1737</v>
      </c>
      <c r="E2222" s="5">
        <f>162986/188482</f>
        <v>0.86472978852091975</v>
      </c>
      <c r="H2222" s="5">
        <f>24801/188482</f>
        <v>0.13158285671841344</v>
      </c>
      <c r="I2222" t="s">
        <v>1742</v>
      </c>
      <c r="J2222" t="s">
        <v>1743</v>
      </c>
      <c r="K2222" s="6">
        <f t="shared" si="70"/>
        <v>0.99631264523933316</v>
      </c>
    </row>
    <row r="2223" spans="1:11" x14ac:dyDescent="0.2">
      <c r="A2223" t="s">
        <v>1736</v>
      </c>
      <c r="B2223">
        <v>2016</v>
      </c>
      <c r="C2223" t="s">
        <v>1737</v>
      </c>
      <c r="D2223" t="s">
        <v>1737</v>
      </c>
      <c r="E2223" s="5">
        <f>88327/121639</f>
        <v>0.72614046481802708</v>
      </c>
      <c r="H2223" s="5">
        <f>23348/121639</f>
        <v>0.19194501763414695</v>
      </c>
      <c r="I2223" t="s">
        <v>1742</v>
      </c>
      <c r="J2223" t="s">
        <v>1743</v>
      </c>
      <c r="K2223" s="6">
        <f t="shared" si="70"/>
        <v>0.91808548245217403</v>
      </c>
    </row>
    <row r="2224" spans="1:11" x14ac:dyDescent="0.2">
      <c r="A2224" t="s">
        <v>1736</v>
      </c>
      <c r="B2224">
        <v>2017</v>
      </c>
      <c r="C2224" t="s">
        <v>1737</v>
      </c>
      <c r="D2224" t="s">
        <v>1737</v>
      </c>
      <c r="E2224" s="5">
        <f>158965/169081</f>
        <v>0.94017068742200482</v>
      </c>
      <c r="H2224" s="5">
        <f>6801/169081</f>
        <v>4.0223324915277296E-2</v>
      </c>
      <c r="I2224" t="s">
        <v>1742</v>
      </c>
      <c r="J2224" t="s">
        <v>1744</v>
      </c>
      <c r="K2224" s="6">
        <f t="shared" si="70"/>
        <v>0.98039401233728207</v>
      </c>
    </row>
    <row r="2225" spans="1:11" x14ac:dyDescent="0.2">
      <c r="A2225" s="8" t="s">
        <v>1736</v>
      </c>
      <c r="B2225">
        <v>2018</v>
      </c>
      <c r="C2225" s="8" t="s">
        <v>1736</v>
      </c>
      <c r="D2225" t="s">
        <v>1737</v>
      </c>
      <c r="E2225" s="7">
        <f>85703/85989</f>
        <v>0.9966739931851748</v>
      </c>
      <c r="F2225" s="7"/>
      <c r="G2225" s="7"/>
      <c r="H2225" s="7">
        <f>286/85989</f>
        <v>3.3260068148251521E-3</v>
      </c>
      <c r="I2225" t="s">
        <v>1742</v>
      </c>
      <c r="J2225" t="s">
        <v>1745</v>
      </c>
      <c r="K2225" s="6">
        <f t="shared" si="70"/>
        <v>1</v>
      </c>
    </row>
    <row r="2226" spans="1:11" x14ac:dyDescent="0.2">
      <c r="A2226" t="s">
        <v>1736</v>
      </c>
      <c r="B2226">
        <v>2018</v>
      </c>
      <c r="C2226" s="8" t="s">
        <v>1736</v>
      </c>
      <c r="D2226" t="s">
        <v>1737</v>
      </c>
      <c r="E2226" s="7">
        <f>85703/85989</f>
        <v>0.9966739931851748</v>
      </c>
      <c r="F2226" s="7"/>
      <c r="G2226" s="7"/>
      <c r="H2226" s="7">
        <f>286/85989</f>
        <v>3.3260068148251521E-3</v>
      </c>
      <c r="I2226" t="s">
        <v>1742</v>
      </c>
      <c r="J2226" t="s">
        <v>1745</v>
      </c>
      <c r="K2226" s="6">
        <f t="shared" si="70"/>
        <v>1</v>
      </c>
    </row>
    <row r="2227" spans="1:11" x14ac:dyDescent="0.2">
      <c r="A2227" t="s">
        <v>1736</v>
      </c>
      <c r="B2227">
        <v>2018</v>
      </c>
      <c r="C2227" t="s">
        <v>1737</v>
      </c>
      <c r="D2227" t="s">
        <v>1737</v>
      </c>
      <c r="E2227" s="7">
        <f>85703/85989</f>
        <v>0.9966739931851748</v>
      </c>
      <c r="F2227" s="7"/>
      <c r="G2227" s="7"/>
      <c r="H2227" s="7">
        <f>286/85989</f>
        <v>3.3260068148251521E-3</v>
      </c>
      <c r="I2227" t="s">
        <v>1742</v>
      </c>
      <c r="J2227" t="s">
        <v>1745</v>
      </c>
      <c r="K2227" s="6">
        <f t="shared" si="70"/>
        <v>1</v>
      </c>
    </row>
    <row r="2228" spans="1:11" x14ac:dyDescent="0.2">
      <c r="A2228" s="9" t="s">
        <v>1736</v>
      </c>
      <c r="B2228" s="9">
        <v>2019</v>
      </c>
      <c r="C2228" s="9" t="s">
        <v>1737</v>
      </c>
      <c r="D2228" s="9" t="s">
        <v>1737</v>
      </c>
      <c r="E2228" s="10">
        <f>85703/85989</f>
        <v>0.9966739931851748</v>
      </c>
      <c r="F2228" s="10"/>
      <c r="G2228" s="10"/>
      <c r="H2228" s="10">
        <f>286/85989</f>
        <v>3.3260068148251521E-3</v>
      </c>
      <c r="I2228" s="9" t="s">
        <v>1742</v>
      </c>
      <c r="J2228" s="9" t="s">
        <v>1745</v>
      </c>
      <c r="K2228" s="17">
        <f t="shared" si="70"/>
        <v>1</v>
      </c>
    </row>
    <row r="2229" spans="1:11" x14ac:dyDescent="0.2">
      <c r="A2229" s="8" t="s">
        <v>1736</v>
      </c>
      <c r="B2229">
        <v>2016</v>
      </c>
      <c r="C2229" s="8" t="s">
        <v>1736</v>
      </c>
      <c r="D2229" t="s">
        <v>1746</v>
      </c>
      <c r="E2229" s="5">
        <f>88327/121639</f>
        <v>0.72614046481802708</v>
      </c>
      <c r="H2229" s="5">
        <f>23348/121639</f>
        <v>0.19194501763414695</v>
      </c>
      <c r="I2229" t="s">
        <v>1747</v>
      </c>
      <c r="J2229" t="s">
        <v>1748</v>
      </c>
      <c r="K2229" s="6">
        <f t="shared" si="70"/>
        <v>0.91808548245217403</v>
      </c>
    </row>
    <row r="2230" spans="1:11" x14ac:dyDescent="0.2">
      <c r="A2230" t="s">
        <v>1736</v>
      </c>
      <c r="B2230">
        <v>2015</v>
      </c>
      <c r="C2230" t="s">
        <v>1749</v>
      </c>
      <c r="D2230" t="s">
        <v>1749</v>
      </c>
      <c r="E2230" s="5">
        <f>162986/188482</f>
        <v>0.86472978852091975</v>
      </c>
      <c r="H2230" s="5">
        <f>24801/188482</f>
        <v>0.13158285671841344</v>
      </c>
      <c r="I2230" t="s">
        <v>1747</v>
      </c>
      <c r="J2230" t="s">
        <v>1748</v>
      </c>
      <c r="K2230" s="6">
        <f t="shared" si="70"/>
        <v>0.99631264523933316</v>
      </c>
    </row>
    <row r="2231" spans="1:11" x14ac:dyDescent="0.2">
      <c r="A2231" t="s">
        <v>1736</v>
      </c>
      <c r="B2231">
        <v>2016</v>
      </c>
      <c r="C2231" t="s">
        <v>1749</v>
      </c>
      <c r="D2231" t="s">
        <v>1749</v>
      </c>
      <c r="E2231" s="5">
        <f>88327/121639</f>
        <v>0.72614046481802708</v>
      </c>
      <c r="H2231" s="5">
        <f>23348/121639</f>
        <v>0.19194501763414695</v>
      </c>
      <c r="I2231" t="s">
        <v>1747</v>
      </c>
      <c r="J2231" t="s">
        <v>1748</v>
      </c>
      <c r="K2231" s="6">
        <f t="shared" si="70"/>
        <v>0.91808548245217403</v>
      </c>
    </row>
    <row r="2232" spans="1:11" x14ac:dyDescent="0.2">
      <c r="A2232" t="s">
        <v>1750</v>
      </c>
      <c r="B2232">
        <v>2011</v>
      </c>
      <c r="C2232" t="s">
        <v>1751</v>
      </c>
      <c r="D2232" t="s">
        <v>1751</v>
      </c>
      <c r="H2232" s="5">
        <v>1</v>
      </c>
      <c r="I2232" t="s">
        <v>1752</v>
      </c>
      <c r="J2232" t="s">
        <v>1753</v>
      </c>
      <c r="K2232" s="6">
        <f t="shared" si="70"/>
        <v>1</v>
      </c>
    </row>
    <row r="2233" spans="1:11" x14ac:dyDescent="0.2">
      <c r="A2233" t="s">
        <v>1754</v>
      </c>
      <c r="B2233">
        <v>2015</v>
      </c>
      <c r="C2233" t="s">
        <v>1754</v>
      </c>
      <c r="D2233" t="s">
        <v>1755</v>
      </c>
      <c r="E2233" s="5">
        <v>1</v>
      </c>
      <c r="I2233" t="s">
        <v>1756</v>
      </c>
      <c r="J2233" t="s">
        <v>1757</v>
      </c>
      <c r="K2233" s="6">
        <f t="shared" si="70"/>
        <v>1</v>
      </c>
    </row>
    <row r="2234" spans="1:11" x14ac:dyDescent="0.2">
      <c r="A2234" t="s">
        <v>1754</v>
      </c>
      <c r="B2234">
        <v>2016</v>
      </c>
      <c r="C2234" t="s">
        <v>1754</v>
      </c>
      <c r="D2234" t="s">
        <v>1755</v>
      </c>
      <c r="E2234" s="5">
        <v>1</v>
      </c>
      <c r="I2234" t="s">
        <v>1756</v>
      </c>
      <c r="J2234" t="s">
        <v>1757</v>
      </c>
      <c r="K2234" s="6">
        <f t="shared" si="70"/>
        <v>1</v>
      </c>
    </row>
    <row r="2235" spans="1:11" x14ac:dyDescent="0.2">
      <c r="A2235" t="s">
        <v>1754</v>
      </c>
      <c r="B2235">
        <v>2018</v>
      </c>
      <c r="C2235" t="s">
        <v>1754</v>
      </c>
      <c r="D2235" t="s">
        <v>1755</v>
      </c>
      <c r="E2235" s="5">
        <v>1</v>
      </c>
      <c r="I2235" t="s">
        <v>1756</v>
      </c>
      <c r="J2235" t="s">
        <v>1757</v>
      </c>
      <c r="K2235" s="6">
        <f t="shared" si="70"/>
        <v>1</v>
      </c>
    </row>
    <row r="2236" spans="1:11" x14ac:dyDescent="0.2">
      <c r="A2236" t="s">
        <v>1758</v>
      </c>
      <c r="B2236">
        <v>2015</v>
      </c>
      <c r="C2236" t="s">
        <v>1758</v>
      </c>
      <c r="D2236" t="s">
        <v>1758</v>
      </c>
      <c r="H2236" s="5">
        <v>1</v>
      </c>
      <c r="I2236" t="s">
        <v>1759</v>
      </c>
      <c r="J2236" t="s">
        <v>1760</v>
      </c>
      <c r="K2236" s="6">
        <f t="shared" si="70"/>
        <v>1</v>
      </c>
    </row>
    <row r="2237" spans="1:11" x14ac:dyDescent="0.2">
      <c r="A2237" t="s">
        <v>1758</v>
      </c>
      <c r="B2237">
        <v>2018</v>
      </c>
      <c r="C2237" s="8" t="s">
        <v>1758</v>
      </c>
      <c r="D2237" t="s">
        <v>1758</v>
      </c>
      <c r="H2237" s="5">
        <v>1</v>
      </c>
      <c r="I2237" t="s">
        <v>1761</v>
      </c>
      <c r="J2237" t="s">
        <v>1762</v>
      </c>
      <c r="K2237" s="6">
        <f t="shared" si="70"/>
        <v>1</v>
      </c>
    </row>
    <row r="2238" spans="1:11" x14ac:dyDescent="0.2">
      <c r="A2238" t="s">
        <v>1758</v>
      </c>
      <c r="B2238">
        <v>2016</v>
      </c>
      <c r="C2238" t="s">
        <v>1763</v>
      </c>
      <c r="D2238" t="s">
        <v>1763</v>
      </c>
      <c r="H2238" s="5">
        <v>1</v>
      </c>
      <c r="I2238" t="s">
        <v>1759</v>
      </c>
      <c r="J2238" t="s">
        <v>1760</v>
      </c>
      <c r="K2238" s="6">
        <f t="shared" si="70"/>
        <v>1</v>
      </c>
    </row>
    <row r="2239" spans="1:11" x14ac:dyDescent="0.2">
      <c r="A2239" s="9" t="s">
        <v>1764</v>
      </c>
      <c r="B2239" s="9">
        <v>2018</v>
      </c>
      <c r="C2239" s="9" t="s">
        <v>1765</v>
      </c>
      <c r="D2239" s="9" t="s">
        <v>1766</v>
      </c>
      <c r="E2239" s="10">
        <f>40529991/(186909635+115506618+40529991)</f>
        <v>0.11818176087095446</v>
      </c>
      <c r="F2239" s="10"/>
      <c r="G2239" s="10"/>
      <c r="H2239" s="10"/>
      <c r="I2239" s="9" t="s">
        <v>1767</v>
      </c>
      <c r="J2239" s="9" t="s">
        <v>1768</v>
      </c>
      <c r="K2239" s="17">
        <f t="shared" si="70"/>
        <v>0.11818176087095446</v>
      </c>
    </row>
    <row r="2240" spans="1:11" x14ac:dyDescent="0.2">
      <c r="A2240" s="9" t="s">
        <v>1764</v>
      </c>
      <c r="B2240" s="9">
        <v>2018</v>
      </c>
      <c r="C2240" s="9" t="s">
        <v>1765</v>
      </c>
      <c r="D2240" s="9" t="s">
        <v>1766</v>
      </c>
      <c r="E2240" s="10">
        <f>40529991/(186909635+115506618+40529991)</f>
        <v>0.11818176087095446</v>
      </c>
      <c r="F2240" s="10"/>
      <c r="G2240" s="10"/>
      <c r="H2240" s="10"/>
      <c r="I2240" s="9" t="s">
        <v>1767</v>
      </c>
      <c r="J2240" s="9" t="s">
        <v>1768</v>
      </c>
      <c r="K2240" s="17">
        <f t="shared" si="70"/>
        <v>0.11818176087095446</v>
      </c>
    </row>
    <row r="2241" spans="1:13" x14ac:dyDescent="0.2">
      <c r="A2241" s="8" t="s">
        <v>1764</v>
      </c>
      <c r="B2241">
        <v>2013</v>
      </c>
      <c r="C2241" s="8" t="s">
        <v>1764</v>
      </c>
      <c r="D2241" t="s">
        <v>1769</v>
      </c>
      <c r="E2241" s="11">
        <f>42618/(42618+18250835)</f>
        <v>2.3296859264349927E-3</v>
      </c>
      <c r="I2241" t="s">
        <v>1770</v>
      </c>
      <c r="J2241" t="s">
        <v>1771</v>
      </c>
      <c r="K2241" s="6">
        <f t="shared" si="70"/>
        <v>2.3296859264349927E-3</v>
      </c>
      <c r="M2241" t="s">
        <v>69</v>
      </c>
    </row>
    <row r="2242" spans="1:13" x14ac:dyDescent="0.2">
      <c r="A2242" s="8" t="s">
        <v>1764</v>
      </c>
      <c r="B2242">
        <v>2014</v>
      </c>
      <c r="C2242" s="8" t="s">
        <v>1764</v>
      </c>
      <c r="D2242" t="s">
        <v>1769</v>
      </c>
      <c r="E2242" s="11">
        <f>960675/(960675+14488391)</f>
        <v>6.2183370826430544E-2</v>
      </c>
      <c r="F2242" s="11"/>
      <c r="G2242" s="11"/>
      <c r="H2242" s="11"/>
      <c r="I2242" t="s">
        <v>1770</v>
      </c>
      <c r="J2242" t="s">
        <v>1771</v>
      </c>
      <c r="K2242" s="6">
        <f t="shared" si="70"/>
        <v>6.2183370826430544E-2</v>
      </c>
      <c r="M2242" t="s">
        <v>69</v>
      </c>
    </row>
    <row r="2243" spans="1:13" x14ac:dyDescent="0.2">
      <c r="A2243" s="8" t="s">
        <v>1764</v>
      </c>
      <c r="B2243">
        <v>2016</v>
      </c>
      <c r="C2243" s="8" t="s">
        <v>1764</v>
      </c>
      <c r="D2243" t="s">
        <v>1769</v>
      </c>
      <c r="E2243" s="11">
        <f>20706738/(246947523+4763350+20706738)</f>
        <v>7.6011010903403009E-2</v>
      </c>
      <c r="F2243" s="11"/>
      <c r="G2243" s="11"/>
      <c r="H2243" s="11"/>
      <c r="I2243" t="s">
        <v>1772</v>
      </c>
      <c r="J2243" t="s">
        <v>1773</v>
      </c>
      <c r="K2243" s="6">
        <f t="shared" si="70"/>
        <v>7.6011010903403009E-2</v>
      </c>
    </row>
    <row r="2244" spans="1:13" x14ac:dyDescent="0.2">
      <c r="A2244" s="8" t="s">
        <v>1764</v>
      </c>
      <c r="B2244">
        <v>2017</v>
      </c>
      <c r="C2244" s="8" t="s">
        <v>1764</v>
      </c>
      <c r="D2244" t="s">
        <v>1769</v>
      </c>
      <c r="E2244" s="11">
        <f>19249455/(308100378+63127990+19249455)</f>
        <v>4.9297178651807841E-2</v>
      </c>
      <c r="F2244" s="11"/>
      <c r="G2244" s="11"/>
      <c r="H2244" s="11"/>
      <c r="I2244" t="s">
        <v>1772</v>
      </c>
      <c r="J2244" t="s">
        <v>1773</v>
      </c>
      <c r="K2244" s="6">
        <f t="shared" si="70"/>
        <v>4.9297178651807841E-2</v>
      </c>
      <c r="M2244" t="s">
        <v>69</v>
      </c>
    </row>
    <row r="2245" spans="1:13" x14ac:dyDescent="0.2">
      <c r="A2245" s="8" t="s">
        <v>1764</v>
      </c>
      <c r="B2245">
        <v>2017</v>
      </c>
      <c r="C2245" s="8" t="s">
        <v>1764</v>
      </c>
      <c r="D2245" t="s">
        <v>1774</v>
      </c>
      <c r="E2245" s="11">
        <f>19249455/(308100378+63127990+19249455)</f>
        <v>4.9297178651807841E-2</v>
      </c>
      <c r="F2245" s="11"/>
      <c r="G2245" s="11"/>
      <c r="H2245" s="11"/>
      <c r="I2245" t="s">
        <v>1772</v>
      </c>
      <c r="J2245" t="s">
        <v>1773</v>
      </c>
      <c r="K2245" s="6">
        <f t="shared" si="70"/>
        <v>4.9297178651807841E-2</v>
      </c>
      <c r="M2245" t="s">
        <v>69</v>
      </c>
    </row>
    <row r="2246" spans="1:13" x14ac:dyDescent="0.2">
      <c r="A2246" s="8" t="s">
        <v>1775</v>
      </c>
      <c r="B2246">
        <v>2018</v>
      </c>
      <c r="C2246" s="8" t="s">
        <v>1775</v>
      </c>
      <c r="D2246" t="s">
        <v>1776</v>
      </c>
      <c r="E2246" s="7"/>
      <c r="F2246" s="7"/>
      <c r="G2246" s="7">
        <v>1</v>
      </c>
      <c r="H2246" s="7"/>
      <c r="I2246" t="s">
        <v>1777</v>
      </c>
      <c r="J2246" t="s">
        <v>1778</v>
      </c>
      <c r="K2246" s="6">
        <f t="shared" si="70"/>
        <v>1</v>
      </c>
      <c r="M2246" t="s">
        <v>69</v>
      </c>
    </row>
    <row r="2247" spans="1:13" x14ac:dyDescent="0.2">
      <c r="A2247" t="s">
        <v>1775</v>
      </c>
      <c r="B2247">
        <v>2018</v>
      </c>
      <c r="C2247" s="8" t="s">
        <v>1775</v>
      </c>
      <c r="D2247" t="s">
        <v>1776</v>
      </c>
      <c r="E2247" s="7"/>
      <c r="F2247" s="7"/>
      <c r="G2247" s="7">
        <v>1</v>
      </c>
      <c r="H2247" s="7"/>
      <c r="I2247" t="s">
        <v>1777</v>
      </c>
      <c r="J2247" t="s">
        <v>1778</v>
      </c>
      <c r="K2247" s="6">
        <f t="shared" si="70"/>
        <v>1</v>
      </c>
      <c r="M2247" t="s">
        <v>69</v>
      </c>
    </row>
    <row r="2248" spans="1:13" x14ac:dyDescent="0.2">
      <c r="A2248" t="s">
        <v>1775</v>
      </c>
      <c r="B2248">
        <v>2017</v>
      </c>
      <c r="C2248" t="s">
        <v>1779</v>
      </c>
      <c r="D2248" t="s">
        <v>1779</v>
      </c>
      <c r="G2248" s="5">
        <v>1</v>
      </c>
      <c r="I2248" t="s">
        <v>1780</v>
      </c>
      <c r="J2248" t="s">
        <v>1781</v>
      </c>
      <c r="K2248" s="6">
        <f t="shared" si="70"/>
        <v>1</v>
      </c>
      <c r="M2248" t="s">
        <v>69</v>
      </c>
    </row>
    <row r="2249" spans="1:13" x14ac:dyDescent="0.2">
      <c r="A2249" s="8" t="s">
        <v>1775</v>
      </c>
      <c r="B2249">
        <v>2018</v>
      </c>
      <c r="C2249" s="8" t="s">
        <v>1775</v>
      </c>
      <c r="D2249" t="s">
        <v>1779</v>
      </c>
      <c r="E2249" s="7"/>
      <c r="F2249" s="7"/>
      <c r="G2249" s="7">
        <v>1</v>
      </c>
      <c r="H2249" s="7"/>
      <c r="I2249" t="s">
        <v>1777</v>
      </c>
      <c r="J2249" t="s">
        <v>1778</v>
      </c>
      <c r="K2249" s="6">
        <f t="shared" si="70"/>
        <v>1</v>
      </c>
      <c r="M2249" t="s">
        <v>69</v>
      </c>
    </row>
    <row r="2250" spans="1:13" x14ac:dyDescent="0.2">
      <c r="A2250" t="s">
        <v>1775</v>
      </c>
      <c r="B2250">
        <v>2018</v>
      </c>
      <c r="C2250" t="s">
        <v>1779</v>
      </c>
      <c r="D2250" t="s">
        <v>1779</v>
      </c>
      <c r="E2250" s="7"/>
      <c r="F2250" s="7"/>
      <c r="G2250" s="7">
        <v>1</v>
      </c>
      <c r="H2250" s="7"/>
      <c r="I2250" t="s">
        <v>1777</v>
      </c>
      <c r="J2250" t="s">
        <v>1778</v>
      </c>
      <c r="K2250" s="6">
        <f t="shared" si="70"/>
        <v>1</v>
      </c>
      <c r="M2250" t="s">
        <v>69</v>
      </c>
    </row>
    <row r="2251" spans="1:13" x14ac:dyDescent="0.2">
      <c r="A2251" t="s">
        <v>1775</v>
      </c>
      <c r="B2251">
        <v>2018</v>
      </c>
      <c r="C2251" t="s">
        <v>1779</v>
      </c>
      <c r="D2251" t="s">
        <v>1779</v>
      </c>
      <c r="E2251" s="7"/>
      <c r="F2251" s="7"/>
      <c r="G2251" s="7">
        <v>1</v>
      </c>
      <c r="H2251" s="7"/>
      <c r="I2251" t="s">
        <v>1777</v>
      </c>
      <c r="J2251" t="s">
        <v>1778</v>
      </c>
      <c r="K2251" s="6">
        <f t="shared" si="70"/>
        <v>1</v>
      </c>
      <c r="M2251" t="s">
        <v>69</v>
      </c>
    </row>
    <row r="2252" spans="1:13" x14ac:dyDescent="0.2">
      <c r="A2252" s="9" t="s">
        <v>1775</v>
      </c>
      <c r="B2252" s="9">
        <v>2019</v>
      </c>
      <c r="C2252" s="9" t="s">
        <v>1779</v>
      </c>
      <c r="D2252" s="9" t="s">
        <v>1779</v>
      </c>
      <c r="E2252" s="10"/>
      <c r="F2252" s="10"/>
      <c r="G2252" s="10">
        <v>1</v>
      </c>
      <c r="H2252" s="10"/>
      <c r="I2252" s="9" t="s">
        <v>1777</v>
      </c>
      <c r="J2252" s="9" t="s">
        <v>1778</v>
      </c>
      <c r="K2252" s="6">
        <f t="shared" si="70"/>
        <v>1</v>
      </c>
    </row>
    <row r="2253" spans="1:13" x14ac:dyDescent="0.2">
      <c r="A2253" t="s">
        <v>1775</v>
      </c>
      <c r="B2253">
        <v>2015</v>
      </c>
      <c r="C2253" t="s">
        <v>1782</v>
      </c>
      <c r="D2253" t="s">
        <v>1782</v>
      </c>
      <c r="G2253" s="5">
        <v>1</v>
      </c>
      <c r="I2253" t="s">
        <v>1780</v>
      </c>
      <c r="J2253" t="s">
        <v>1781</v>
      </c>
      <c r="K2253" s="6">
        <f t="shared" si="70"/>
        <v>1</v>
      </c>
    </row>
    <row r="2254" spans="1:13" x14ac:dyDescent="0.2">
      <c r="A2254" t="s">
        <v>1775</v>
      </c>
      <c r="B2254">
        <v>2016</v>
      </c>
      <c r="C2254" t="s">
        <v>1782</v>
      </c>
      <c r="D2254" t="s">
        <v>1782</v>
      </c>
      <c r="G2254" s="5">
        <v>1</v>
      </c>
      <c r="I2254" t="s">
        <v>1780</v>
      </c>
      <c r="J2254" t="s">
        <v>1781</v>
      </c>
      <c r="K2254" s="6">
        <f t="shared" si="70"/>
        <v>1</v>
      </c>
      <c r="M2254" t="s">
        <v>69</v>
      </c>
    </row>
    <row r="2255" spans="1:13" x14ac:dyDescent="0.2">
      <c r="A2255" t="s">
        <v>1775</v>
      </c>
      <c r="B2255">
        <v>2017</v>
      </c>
      <c r="C2255" t="s">
        <v>1782</v>
      </c>
      <c r="D2255" t="s">
        <v>1782</v>
      </c>
      <c r="G2255" s="5">
        <v>1</v>
      </c>
      <c r="I2255" t="s">
        <v>1780</v>
      </c>
      <c r="J2255" t="s">
        <v>1781</v>
      </c>
      <c r="K2255" s="6">
        <f t="shared" si="70"/>
        <v>1</v>
      </c>
      <c r="M2255" t="s">
        <v>69</v>
      </c>
    </row>
    <row r="2256" spans="1:13" x14ac:dyDescent="0.2">
      <c r="A2256" s="8" t="s">
        <v>1775</v>
      </c>
      <c r="B2256">
        <v>2018</v>
      </c>
      <c r="C2256" s="8" t="s">
        <v>1775</v>
      </c>
      <c r="D2256" t="s">
        <v>1782</v>
      </c>
      <c r="E2256" s="7"/>
      <c r="F2256" s="7"/>
      <c r="G2256" s="7">
        <v>1</v>
      </c>
      <c r="H2256" s="7"/>
      <c r="I2256" t="s">
        <v>1777</v>
      </c>
      <c r="J2256" t="s">
        <v>1778</v>
      </c>
      <c r="K2256" s="6">
        <f t="shared" si="70"/>
        <v>1</v>
      </c>
      <c r="M2256" t="s">
        <v>69</v>
      </c>
    </row>
    <row r="2257" spans="1:13" x14ac:dyDescent="0.2">
      <c r="A2257" t="s">
        <v>1775</v>
      </c>
      <c r="B2257">
        <v>2018</v>
      </c>
      <c r="C2257" s="8" t="s">
        <v>1775</v>
      </c>
      <c r="D2257" t="s">
        <v>1782</v>
      </c>
      <c r="E2257" s="7"/>
      <c r="F2257" s="7"/>
      <c r="G2257" s="7">
        <v>1</v>
      </c>
      <c r="H2257" s="7"/>
      <c r="I2257" t="s">
        <v>1777</v>
      </c>
      <c r="J2257" t="s">
        <v>1778</v>
      </c>
      <c r="K2257" s="6">
        <f t="shared" si="70"/>
        <v>1</v>
      </c>
    </row>
    <row r="2258" spans="1:13" x14ac:dyDescent="0.2">
      <c r="A2258" t="s">
        <v>1775</v>
      </c>
      <c r="B2258">
        <v>2018</v>
      </c>
      <c r="C2258" t="s">
        <v>1782</v>
      </c>
      <c r="D2258" t="s">
        <v>1782</v>
      </c>
      <c r="E2258" s="7"/>
      <c r="F2258" s="7"/>
      <c r="G2258" s="7">
        <v>1</v>
      </c>
      <c r="H2258" s="7"/>
      <c r="I2258" t="s">
        <v>1777</v>
      </c>
      <c r="J2258" t="s">
        <v>1778</v>
      </c>
      <c r="K2258" s="6">
        <f t="shared" si="70"/>
        <v>1</v>
      </c>
    </row>
    <row r="2259" spans="1:13" x14ac:dyDescent="0.2">
      <c r="A2259" s="9" t="s">
        <v>1775</v>
      </c>
      <c r="B2259" s="9">
        <v>2019</v>
      </c>
      <c r="C2259" s="9" t="s">
        <v>1782</v>
      </c>
      <c r="D2259" s="9" t="s">
        <v>1782</v>
      </c>
      <c r="E2259" s="10"/>
      <c r="F2259" s="10"/>
      <c r="G2259" s="10">
        <v>1</v>
      </c>
      <c r="H2259" s="10"/>
      <c r="I2259" s="9" t="s">
        <v>1777</v>
      </c>
      <c r="J2259" s="9" t="s">
        <v>1778</v>
      </c>
      <c r="K2259" s="6">
        <f t="shared" ref="K2259:K2322" si="71">SUM(E2259:H2259)</f>
        <v>1</v>
      </c>
      <c r="M2259" t="s">
        <v>69</v>
      </c>
    </row>
    <row r="2260" spans="1:13" x14ac:dyDescent="0.2">
      <c r="A2260" s="9" t="s">
        <v>1775</v>
      </c>
      <c r="B2260" s="9">
        <v>2019</v>
      </c>
      <c r="C2260" s="9" t="s">
        <v>1783</v>
      </c>
      <c r="D2260" s="9" t="s">
        <v>1784</v>
      </c>
      <c r="E2260" s="10"/>
      <c r="F2260" s="10"/>
      <c r="G2260" s="10">
        <v>1</v>
      </c>
      <c r="H2260" s="10"/>
      <c r="I2260" s="9" t="s">
        <v>1777</v>
      </c>
      <c r="J2260" s="9" t="s">
        <v>1778</v>
      </c>
      <c r="K2260" s="6">
        <f t="shared" si="71"/>
        <v>1</v>
      </c>
      <c r="M2260" t="s">
        <v>69</v>
      </c>
    </row>
    <row r="2261" spans="1:13" x14ac:dyDescent="0.2">
      <c r="A2261" s="9" t="s">
        <v>1775</v>
      </c>
      <c r="B2261" s="9">
        <v>2019</v>
      </c>
      <c r="C2261" s="9" t="s">
        <v>1783</v>
      </c>
      <c r="D2261" s="9" t="s">
        <v>1784</v>
      </c>
      <c r="E2261" s="10"/>
      <c r="F2261" s="10"/>
      <c r="G2261" s="10">
        <v>1</v>
      </c>
      <c r="H2261" s="10"/>
      <c r="I2261" s="9" t="s">
        <v>1777</v>
      </c>
      <c r="J2261" s="9" t="s">
        <v>1778</v>
      </c>
      <c r="K2261" s="6">
        <f t="shared" si="71"/>
        <v>1</v>
      </c>
      <c r="M2261" t="s">
        <v>69</v>
      </c>
    </row>
    <row r="2262" spans="1:13" x14ac:dyDescent="0.2">
      <c r="A2262" s="8" t="s">
        <v>1785</v>
      </c>
      <c r="B2262">
        <v>2017</v>
      </c>
      <c r="C2262" s="8" t="s">
        <v>1785</v>
      </c>
      <c r="D2262" s="28" t="s">
        <v>1786</v>
      </c>
      <c r="E2262" s="29" t="s">
        <v>137</v>
      </c>
      <c r="F2262" s="29" t="s">
        <v>137</v>
      </c>
      <c r="G2262" s="29" t="s">
        <v>137</v>
      </c>
      <c r="H2262" s="29" t="s">
        <v>137</v>
      </c>
      <c r="K2262" s="6">
        <f t="shared" si="71"/>
        <v>0</v>
      </c>
      <c r="M2262" t="s">
        <v>69</v>
      </c>
    </row>
    <row r="2263" spans="1:13" x14ac:dyDescent="0.2">
      <c r="A2263" t="s">
        <v>1787</v>
      </c>
      <c r="B2263">
        <v>2016</v>
      </c>
      <c r="C2263" t="s">
        <v>1788</v>
      </c>
      <c r="D2263" t="s">
        <v>1789</v>
      </c>
      <c r="E2263" s="5">
        <v>1</v>
      </c>
      <c r="I2263" t="s">
        <v>1790</v>
      </c>
      <c r="J2263" t="s">
        <v>1791</v>
      </c>
      <c r="K2263" s="6">
        <f t="shared" si="71"/>
        <v>1</v>
      </c>
      <c r="M2263" t="s">
        <v>69</v>
      </c>
    </row>
    <row r="2264" spans="1:13" x14ac:dyDescent="0.2">
      <c r="A2264" t="s">
        <v>1787</v>
      </c>
      <c r="B2264">
        <v>2013</v>
      </c>
      <c r="C2264" t="s">
        <v>1792</v>
      </c>
      <c r="D2264" t="s">
        <v>1793</v>
      </c>
      <c r="E2264" s="5">
        <v>1</v>
      </c>
      <c r="I2264" t="s">
        <v>1790</v>
      </c>
      <c r="J2264" t="s">
        <v>1791</v>
      </c>
      <c r="K2264" s="6">
        <f t="shared" si="71"/>
        <v>1</v>
      </c>
      <c r="M2264" t="s">
        <v>69</v>
      </c>
    </row>
    <row r="2265" spans="1:13" x14ac:dyDescent="0.2">
      <c r="A2265" t="s">
        <v>1787</v>
      </c>
      <c r="B2265">
        <v>2013</v>
      </c>
      <c r="C2265" t="s">
        <v>1788</v>
      </c>
      <c r="D2265" t="s">
        <v>1794</v>
      </c>
      <c r="E2265" s="5">
        <v>1</v>
      </c>
      <c r="I2265" t="s">
        <v>1790</v>
      </c>
      <c r="J2265" t="s">
        <v>1791</v>
      </c>
      <c r="K2265" s="6">
        <f t="shared" si="71"/>
        <v>1</v>
      </c>
      <c r="M2265" t="s">
        <v>69</v>
      </c>
    </row>
    <row r="2266" spans="1:13" x14ac:dyDescent="0.2">
      <c r="A2266" t="s">
        <v>1787</v>
      </c>
      <c r="B2266">
        <v>2014</v>
      </c>
      <c r="C2266" t="s">
        <v>1788</v>
      </c>
      <c r="D2266" t="s">
        <v>1794</v>
      </c>
      <c r="E2266" s="5">
        <v>1</v>
      </c>
      <c r="I2266" t="s">
        <v>1790</v>
      </c>
      <c r="J2266" t="s">
        <v>1791</v>
      </c>
      <c r="K2266" s="6">
        <f t="shared" si="71"/>
        <v>1</v>
      </c>
      <c r="M2266" t="s">
        <v>69</v>
      </c>
    </row>
    <row r="2267" spans="1:13" x14ac:dyDescent="0.2">
      <c r="A2267" t="s">
        <v>1787</v>
      </c>
      <c r="B2267">
        <v>2015</v>
      </c>
      <c r="C2267" t="s">
        <v>1788</v>
      </c>
      <c r="D2267" t="s">
        <v>1794</v>
      </c>
      <c r="E2267" s="5">
        <v>1</v>
      </c>
      <c r="I2267" t="s">
        <v>1790</v>
      </c>
      <c r="J2267" t="s">
        <v>1791</v>
      </c>
      <c r="K2267" s="6">
        <f t="shared" si="71"/>
        <v>1</v>
      </c>
    </row>
    <row r="2268" spans="1:13" x14ac:dyDescent="0.2">
      <c r="A2268" t="s">
        <v>1787</v>
      </c>
      <c r="B2268">
        <v>2010</v>
      </c>
      <c r="C2268" t="s">
        <v>1788</v>
      </c>
      <c r="D2268" t="s">
        <v>1795</v>
      </c>
      <c r="E2268" s="5">
        <v>0</v>
      </c>
      <c r="F2268" s="5">
        <v>0</v>
      </c>
      <c r="G2268" s="5">
        <v>0</v>
      </c>
      <c r="H2268" s="5">
        <v>0</v>
      </c>
      <c r="I2268" t="s">
        <v>1796</v>
      </c>
      <c r="J2268" t="s">
        <v>1797</v>
      </c>
      <c r="K2268" s="6">
        <f t="shared" si="71"/>
        <v>0</v>
      </c>
    </row>
    <row r="2269" spans="1:13" x14ac:dyDescent="0.2">
      <c r="A2269" t="s">
        <v>1787</v>
      </c>
      <c r="B2269">
        <v>2011</v>
      </c>
      <c r="C2269" t="s">
        <v>1788</v>
      </c>
      <c r="D2269" t="s">
        <v>1795</v>
      </c>
      <c r="E2269" s="5">
        <v>0</v>
      </c>
      <c r="F2269" s="5">
        <v>0</v>
      </c>
      <c r="G2269" s="5">
        <v>0</v>
      </c>
      <c r="H2269" s="5">
        <v>0</v>
      </c>
      <c r="I2269" t="s">
        <v>1796</v>
      </c>
      <c r="J2269" t="s">
        <v>1797</v>
      </c>
      <c r="K2269" s="6">
        <f t="shared" si="71"/>
        <v>0</v>
      </c>
    </row>
    <row r="2270" spans="1:13" x14ac:dyDescent="0.2">
      <c r="A2270" t="s">
        <v>1787</v>
      </c>
      <c r="B2270">
        <v>2014</v>
      </c>
      <c r="C2270" t="s">
        <v>1792</v>
      </c>
      <c r="D2270" t="s">
        <v>1798</v>
      </c>
      <c r="E2270" s="5">
        <v>1</v>
      </c>
      <c r="I2270" t="s">
        <v>1799</v>
      </c>
      <c r="J2270" t="s">
        <v>1791</v>
      </c>
      <c r="K2270" s="6">
        <f t="shared" si="71"/>
        <v>1</v>
      </c>
    </row>
    <row r="2271" spans="1:13" x14ac:dyDescent="0.2">
      <c r="A2271" t="s">
        <v>1787</v>
      </c>
      <c r="B2271">
        <v>2011</v>
      </c>
      <c r="C2271" t="s">
        <v>1788</v>
      </c>
      <c r="D2271" t="s">
        <v>1800</v>
      </c>
      <c r="E2271" s="5">
        <v>0</v>
      </c>
      <c r="F2271" s="5">
        <v>0</v>
      </c>
      <c r="G2271" s="5">
        <v>0</v>
      </c>
      <c r="H2271" s="5">
        <v>0</v>
      </c>
      <c r="I2271" t="s">
        <v>1796</v>
      </c>
      <c r="J2271" t="s">
        <v>1797</v>
      </c>
      <c r="K2271" s="6">
        <f t="shared" si="71"/>
        <v>0</v>
      </c>
    </row>
    <row r="2272" spans="1:13" x14ac:dyDescent="0.2">
      <c r="A2272" t="s">
        <v>1787</v>
      </c>
      <c r="B2272">
        <v>2012</v>
      </c>
      <c r="C2272" t="s">
        <v>1788</v>
      </c>
      <c r="D2272" t="s">
        <v>1800</v>
      </c>
      <c r="E2272" s="5">
        <v>0</v>
      </c>
      <c r="F2272" s="5">
        <v>0</v>
      </c>
      <c r="G2272" s="5">
        <v>0</v>
      </c>
      <c r="H2272" s="5">
        <v>0</v>
      </c>
      <c r="I2272" t="s">
        <v>1796</v>
      </c>
      <c r="J2272" t="s">
        <v>1797</v>
      </c>
      <c r="K2272" s="6">
        <f t="shared" si="71"/>
        <v>0</v>
      </c>
    </row>
    <row r="2273" spans="1:11" x14ac:dyDescent="0.2">
      <c r="A2273" t="s">
        <v>1787</v>
      </c>
      <c r="B2273">
        <v>2013</v>
      </c>
      <c r="C2273" t="s">
        <v>1788</v>
      </c>
      <c r="D2273" t="s">
        <v>1800</v>
      </c>
      <c r="E2273" s="5">
        <v>0</v>
      </c>
      <c r="F2273" s="5">
        <v>0</v>
      </c>
      <c r="G2273" s="5">
        <v>0</v>
      </c>
      <c r="H2273" s="5">
        <v>0</v>
      </c>
      <c r="I2273" t="s">
        <v>1796</v>
      </c>
      <c r="J2273" t="s">
        <v>1797</v>
      </c>
      <c r="K2273" s="6">
        <f t="shared" si="71"/>
        <v>0</v>
      </c>
    </row>
    <row r="2274" spans="1:11" x14ac:dyDescent="0.2">
      <c r="A2274" t="s">
        <v>1787</v>
      </c>
      <c r="B2274">
        <v>2015</v>
      </c>
      <c r="C2274" t="s">
        <v>1788</v>
      </c>
      <c r="D2274" t="s">
        <v>1800</v>
      </c>
      <c r="E2274" s="5">
        <v>0</v>
      </c>
      <c r="F2274" s="5">
        <v>0</v>
      </c>
      <c r="G2274" s="5">
        <v>0</v>
      </c>
      <c r="H2274" s="5">
        <v>0</v>
      </c>
      <c r="I2274" t="s">
        <v>1796</v>
      </c>
      <c r="J2274" t="s">
        <v>1797</v>
      </c>
      <c r="K2274" s="6">
        <f t="shared" si="71"/>
        <v>0</v>
      </c>
    </row>
    <row r="2275" spans="1:11" x14ac:dyDescent="0.2">
      <c r="A2275" t="s">
        <v>1787</v>
      </c>
      <c r="B2275">
        <v>2016</v>
      </c>
      <c r="C2275" t="s">
        <v>1788</v>
      </c>
      <c r="D2275" t="s">
        <v>1800</v>
      </c>
      <c r="E2275" s="5">
        <v>0</v>
      </c>
      <c r="F2275" s="5">
        <v>0</v>
      </c>
      <c r="G2275" s="5">
        <v>0</v>
      </c>
      <c r="H2275" s="5">
        <v>0</v>
      </c>
      <c r="I2275" t="s">
        <v>1796</v>
      </c>
      <c r="J2275" t="s">
        <v>1797</v>
      </c>
      <c r="K2275" s="6">
        <f t="shared" si="71"/>
        <v>0</v>
      </c>
    </row>
    <row r="2276" spans="1:11" x14ac:dyDescent="0.2">
      <c r="A2276" t="s">
        <v>1787</v>
      </c>
      <c r="B2276">
        <v>2012</v>
      </c>
      <c r="C2276" t="s">
        <v>1788</v>
      </c>
      <c r="D2276" t="s">
        <v>1801</v>
      </c>
      <c r="E2276" s="5">
        <v>0</v>
      </c>
      <c r="F2276" s="5">
        <v>0</v>
      </c>
      <c r="G2276" s="5">
        <v>0</v>
      </c>
      <c r="H2276" s="5">
        <v>0</v>
      </c>
      <c r="I2276" t="s">
        <v>1796</v>
      </c>
      <c r="J2276" t="s">
        <v>1797</v>
      </c>
      <c r="K2276" s="6">
        <f t="shared" si="71"/>
        <v>0</v>
      </c>
    </row>
    <row r="2277" spans="1:11" x14ac:dyDescent="0.2">
      <c r="A2277" t="s">
        <v>1787</v>
      </c>
      <c r="B2277">
        <v>2013</v>
      </c>
      <c r="C2277" t="s">
        <v>1788</v>
      </c>
      <c r="D2277" t="s">
        <v>1801</v>
      </c>
      <c r="E2277" s="5">
        <v>0</v>
      </c>
      <c r="F2277" s="5">
        <v>0</v>
      </c>
      <c r="G2277" s="5">
        <v>0</v>
      </c>
      <c r="H2277" s="5">
        <v>0</v>
      </c>
      <c r="I2277" t="s">
        <v>1796</v>
      </c>
      <c r="J2277" t="s">
        <v>1797</v>
      </c>
      <c r="K2277" s="6">
        <f t="shared" si="71"/>
        <v>0</v>
      </c>
    </row>
    <row r="2278" spans="1:11" x14ac:dyDescent="0.2">
      <c r="A2278" t="s">
        <v>1787</v>
      </c>
      <c r="B2278">
        <v>2015</v>
      </c>
      <c r="C2278" t="s">
        <v>1788</v>
      </c>
      <c r="D2278" t="s">
        <v>1802</v>
      </c>
      <c r="E2278" s="5">
        <v>0</v>
      </c>
      <c r="F2278" s="5">
        <v>0</v>
      </c>
      <c r="G2278" s="5">
        <v>0</v>
      </c>
      <c r="H2278" s="5">
        <v>0</v>
      </c>
      <c r="I2278" t="s">
        <v>1803</v>
      </c>
      <c r="J2278" t="s">
        <v>1791</v>
      </c>
      <c r="K2278" s="6">
        <f t="shared" si="71"/>
        <v>0</v>
      </c>
    </row>
    <row r="2279" spans="1:11" x14ac:dyDescent="0.2">
      <c r="A2279" t="s">
        <v>1787</v>
      </c>
      <c r="B2279">
        <v>2011</v>
      </c>
      <c r="C2279" t="s">
        <v>1788</v>
      </c>
      <c r="D2279" t="s">
        <v>1804</v>
      </c>
      <c r="E2279" s="5">
        <v>1</v>
      </c>
      <c r="I2279" t="s">
        <v>1652</v>
      </c>
      <c r="J2279" t="s">
        <v>1805</v>
      </c>
      <c r="K2279" s="6">
        <f t="shared" si="71"/>
        <v>1</v>
      </c>
    </row>
    <row r="2280" spans="1:11" x14ac:dyDescent="0.2">
      <c r="A2280" t="s">
        <v>1787</v>
      </c>
      <c r="B2280">
        <v>2016</v>
      </c>
      <c r="C2280" t="s">
        <v>1806</v>
      </c>
      <c r="D2280" t="s">
        <v>1804</v>
      </c>
      <c r="E2280" s="5">
        <v>1</v>
      </c>
      <c r="I2280" t="s">
        <v>1807</v>
      </c>
      <c r="J2280" t="s">
        <v>1808</v>
      </c>
      <c r="K2280" s="6">
        <f t="shared" si="71"/>
        <v>1</v>
      </c>
    </row>
    <row r="2281" spans="1:11" x14ac:dyDescent="0.2">
      <c r="A2281" t="s">
        <v>1787</v>
      </c>
      <c r="B2281">
        <v>2013</v>
      </c>
      <c r="C2281" t="s">
        <v>1788</v>
      </c>
      <c r="D2281" t="s">
        <v>1809</v>
      </c>
      <c r="E2281" s="5">
        <v>0</v>
      </c>
      <c r="F2281" s="5">
        <v>0</v>
      </c>
      <c r="G2281" s="5">
        <v>0</v>
      </c>
      <c r="H2281" s="5">
        <v>0</v>
      </c>
      <c r="I2281" t="s">
        <v>1810</v>
      </c>
      <c r="J2281" t="s">
        <v>1791</v>
      </c>
      <c r="K2281" s="6">
        <f t="shared" si="71"/>
        <v>0</v>
      </c>
    </row>
    <row r="2282" spans="1:11" x14ac:dyDescent="0.2">
      <c r="A2282" t="s">
        <v>1787</v>
      </c>
      <c r="B2282">
        <v>2015</v>
      </c>
      <c r="C2282" t="s">
        <v>1788</v>
      </c>
      <c r="D2282" t="s">
        <v>1809</v>
      </c>
      <c r="E2282" s="5">
        <v>0</v>
      </c>
      <c r="F2282" s="5">
        <v>0</v>
      </c>
      <c r="G2282" s="5">
        <v>0</v>
      </c>
      <c r="H2282" s="5">
        <v>0</v>
      </c>
      <c r="I2282" t="s">
        <v>1810</v>
      </c>
      <c r="J2282" t="s">
        <v>1791</v>
      </c>
      <c r="K2282" s="6">
        <f t="shared" si="71"/>
        <v>0</v>
      </c>
    </row>
    <row r="2283" spans="1:11" x14ac:dyDescent="0.2">
      <c r="A2283" t="s">
        <v>1787</v>
      </c>
      <c r="B2283">
        <v>2016</v>
      </c>
      <c r="C2283" t="s">
        <v>1788</v>
      </c>
      <c r="D2283" t="s">
        <v>1809</v>
      </c>
      <c r="E2283" s="5">
        <v>0</v>
      </c>
      <c r="F2283" s="5">
        <v>0</v>
      </c>
      <c r="G2283" s="5">
        <v>0</v>
      </c>
      <c r="H2283" s="5">
        <v>0</v>
      </c>
      <c r="I2283" t="s">
        <v>1810</v>
      </c>
      <c r="J2283" t="s">
        <v>1791</v>
      </c>
      <c r="K2283" s="6">
        <f t="shared" si="71"/>
        <v>0</v>
      </c>
    </row>
    <row r="2284" spans="1:11" x14ac:dyDescent="0.2">
      <c r="A2284" t="s">
        <v>1787</v>
      </c>
      <c r="B2284">
        <v>2012</v>
      </c>
      <c r="C2284" t="s">
        <v>1788</v>
      </c>
      <c r="D2284" t="s">
        <v>1811</v>
      </c>
      <c r="E2284" s="5">
        <v>1</v>
      </c>
      <c r="I2284" t="s">
        <v>1652</v>
      </c>
      <c r="J2284" t="s">
        <v>1812</v>
      </c>
      <c r="K2284" s="6">
        <f t="shared" si="71"/>
        <v>1</v>
      </c>
    </row>
    <row r="2285" spans="1:11" x14ac:dyDescent="0.2">
      <c r="A2285" t="s">
        <v>1787</v>
      </c>
      <c r="B2285">
        <v>2014</v>
      </c>
      <c r="C2285" t="s">
        <v>1788</v>
      </c>
      <c r="D2285" t="s">
        <v>1813</v>
      </c>
      <c r="E2285" s="5">
        <v>1</v>
      </c>
      <c r="I2285" t="s">
        <v>1814</v>
      </c>
      <c r="J2285" t="s">
        <v>1791</v>
      </c>
      <c r="K2285" s="6">
        <f t="shared" si="71"/>
        <v>1</v>
      </c>
    </row>
    <row r="2286" spans="1:11" x14ac:dyDescent="0.2">
      <c r="A2286" t="s">
        <v>1787</v>
      </c>
      <c r="B2286">
        <v>2014</v>
      </c>
      <c r="C2286" t="s">
        <v>1788</v>
      </c>
      <c r="D2286" t="s">
        <v>1815</v>
      </c>
      <c r="E2286" s="5">
        <v>0</v>
      </c>
      <c r="F2286" s="5">
        <v>0</v>
      </c>
      <c r="G2286" s="5">
        <v>0</v>
      </c>
      <c r="H2286" s="5">
        <v>0</v>
      </c>
      <c r="I2286" t="s">
        <v>1810</v>
      </c>
      <c r="J2286" t="s">
        <v>1791</v>
      </c>
      <c r="K2286" s="6">
        <f t="shared" si="71"/>
        <v>0</v>
      </c>
    </row>
    <row r="2287" spans="1:11" x14ac:dyDescent="0.2">
      <c r="A2287" t="s">
        <v>1787</v>
      </c>
      <c r="B2287">
        <v>2016</v>
      </c>
      <c r="C2287" t="s">
        <v>1788</v>
      </c>
      <c r="D2287" t="s">
        <v>1815</v>
      </c>
      <c r="E2287" s="5">
        <v>0</v>
      </c>
      <c r="F2287" s="5">
        <v>0</v>
      </c>
      <c r="G2287" s="5">
        <v>0</v>
      </c>
      <c r="H2287" s="5">
        <v>0</v>
      </c>
      <c r="I2287" t="s">
        <v>1810</v>
      </c>
      <c r="J2287" t="s">
        <v>1791</v>
      </c>
      <c r="K2287" s="6">
        <f t="shared" si="71"/>
        <v>0</v>
      </c>
    </row>
    <row r="2288" spans="1:11" x14ac:dyDescent="0.2">
      <c r="A2288" t="s">
        <v>1787</v>
      </c>
      <c r="B2288">
        <v>2013</v>
      </c>
      <c r="C2288" t="s">
        <v>1788</v>
      </c>
      <c r="D2288" t="s">
        <v>1816</v>
      </c>
      <c r="E2288" s="5">
        <v>0</v>
      </c>
      <c r="F2288" s="5">
        <v>0</v>
      </c>
      <c r="G2288" s="5">
        <v>0</v>
      </c>
      <c r="H2288" s="5">
        <v>0</v>
      </c>
      <c r="I2288" t="s">
        <v>1810</v>
      </c>
      <c r="J2288" t="s">
        <v>1791</v>
      </c>
      <c r="K2288" s="6">
        <f t="shared" si="71"/>
        <v>0</v>
      </c>
    </row>
    <row r="2289" spans="1:11" x14ac:dyDescent="0.2">
      <c r="A2289" t="s">
        <v>1787</v>
      </c>
      <c r="B2289">
        <v>2014</v>
      </c>
      <c r="C2289" t="s">
        <v>1788</v>
      </c>
      <c r="D2289" t="s">
        <v>1816</v>
      </c>
      <c r="E2289" s="5">
        <v>0</v>
      </c>
      <c r="F2289" s="5">
        <v>0</v>
      </c>
      <c r="G2289" s="5">
        <v>0</v>
      </c>
      <c r="H2289" s="5">
        <v>0</v>
      </c>
      <c r="I2289" t="s">
        <v>1810</v>
      </c>
      <c r="J2289" t="s">
        <v>1791</v>
      </c>
      <c r="K2289" s="6">
        <f t="shared" si="71"/>
        <v>0</v>
      </c>
    </row>
    <row r="2290" spans="1:11" x14ac:dyDescent="0.2">
      <c r="A2290" t="s">
        <v>1787</v>
      </c>
      <c r="B2290">
        <v>2013</v>
      </c>
      <c r="C2290" t="s">
        <v>1788</v>
      </c>
      <c r="D2290" t="s">
        <v>1817</v>
      </c>
      <c r="E2290" s="5">
        <v>0</v>
      </c>
      <c r="F2290" s="5">
        <v>0</v>
      </c>
      <c r="G2290" s="5">
        <v>0</v>
      </c>
      <c r="H2290" s="5">
        <v>0</v>
      </c>
      <c r="I2290" t="s">
        <v>1818</v>
      </c>
      <c r="J2290" t="s">
        <v>1791</v>
      </c>
      <c r="K2290" s="6">
        <f t="shared" si="71"/>
        <v>0</v>
      </c>
    </row>
    <row r="2291" spans="1:11" x14ac:dyDescent="0.2">
      <c r="A2291" t="s">
        <v>1787</v>
      </c>
      <c r="B2291">
        <v>2014</v>
      </c>
      <c r="C2291" t="s">
        <v>1788</v>
      </c>
      <c r="D2291" t="s">
        <v>1817</v>
      </c>
      <c r="E2291" s="5">
        <v>0</v>
      </c>
      <c r="F2291" s="5">
        <v>0</v>
      </c>
      <c r="G2291" s="5">
        <v>0</v>
      </c>
      <c r="H2291" s="5">
        <v>0</v>
      </c>
      <c r="I2291" t="s">
        <v>1818</v>
      </c>
      <c r="J2291" t="s">
        <v>1791</v>
      </c>
      <c r="K2291" s="6">
        <f t="shared" si="71"/>
        <v>0</v>
      </c>
    </row>
    <row r="2292" spans="1:11" x14ac:dyDescent="0.2">
      <c r="A2292" t="s">
        <v>1787</v>
      </c>
      <c r="B2292">
        <v>2015</v>
      </c>
      <c r="C2292" t="s">
        <v>1788</v>
      </c>
      <c r="D2292" t="s">
        <v>1817</v>
      </c>
      <c r="E2292" s="5">
        <v>0</v>
      </c>
      <c r="F2292" s="5">
        <v>0</v>
      </c>
      <c r="G2292" s="5">
        <v>0</v>
      </c>
      <c r="H2292" s="5">
        <v>0</v>
      </c>
      <c r="I2292" t="s">
        <v>1810</v>
      </c>
      <c r="J2292" t="s">
        <v>1791</v>
      </c>
      <c r="K2292" s="6">
        <f t="shared" si="71"/>
        <v>0</v>
      </c>
    </row>
    <row r="2293" spans="1:11" x14ac:dyDescent="0.2">
      <c r="A2293" t="s">
        <v>1787</v>
      </c>
      <c r="B2293">
        <v>2016</v>
      </c>
      <c r="C2293" t="s">
        <v>1788</v>
      </c>
      <c r="D2293" t="s">
        <v>1819</v>
      </c>
      <c r="E2293" s="5">
        <v>0</v>
      </c>
      <c r="F2293" s="5">
        <v>0</v>
      </c>
      <c r="G2293" s="5">
        <v>0</v>
      </c>
      <c r="H2293" s="5">
        <v>0</v>
      </c>
      <c r="I2293" t="s">
        <v>1818</v>
      </c>
      <c r="J2293" t="s">
        <v>1791</v>
      </c>
      <c r="K2293" s="6">
        <f t="shared" si="71"/>
        <v>0</v>
      </c>
    </row>
    <row r="2294" spans="1:11" x14ac:dyDescent="0.2">
      <c r="A2294" s="9" t="s">
        <v>1787</v>
      </c>
      <c r="B2294" s="9">
        <v>2018</v>
      </c>
      <c r="C2294" s="9" t="s">
        <v>1820</v>
      </c>
      <c r="D2294" s="9" t="s">
        <v>1820</v>
      </c>
      <c r="E2294" s="10">
        <f>424144/658512</f>
        <v>0.64409456471560123</v>
      </c>
      <c r="F2294" s="10"/>
      <c r="G2294" s="10"/>
      <c r="H2294" s="10"/>
      <c r="I2294" s="9" t="s">
        <v>1821</v>
      </c>
      <c r="J2294" s="9" t="s">
        <v>1822</v>
      </c>
      <c r="K2294" s="17">
        <f t="shared" si="71"/>
        <v>0.64409456471560123</v>
      </c>
    </row>
    <row r="2295" spans="1:11" x14ac:dyDescent="0.2">
      <c r="A2295" s="9" t="s">
        <v>1787</v>
      </c>
      <c r="B2295" s="9">
        <v>2018</v>
      </c>
      <c r="C2295" s="9" t="s">
        <v>1820</v>
      </c>
      <c r="D2295" s="9" t="s">
        <v>1820</v>
      </c>
      <c r="E2295" s="10">
        <f>424144/658512</f>
        <v>0.64409456471560123</v>
      </c>
      <c r="F2295" s="10"/>
      <c r="G2295" s="10"/>
      <c r="H2295" s="10"/>
      <c r="I2295" s="9" t="s">
        <v>1821</v>
      </c>
      <c r="J2295" s="9" t="s">
        <v>1822</v>
      </c>
      <c r="K2295" s="17">
        <f t="shared" si="71"/>
        <v>0.64409456471560123</v>
      </c>
    </row>
    <row r="2296" spans="1:11" x14ac:dyDescent="0.2">
      <c r="A2296" t="s">
        <v>1787</v>
      </c>
      <c r="B2296">
        <v>2011</v>
      </c>
      <c r="C2296" t="s">
        <v>1792</v>
      </c>
      <c r="D2296" t="s">
        <v>1823</v>
      </c>
      <c r="E2296" s="5">
        <f>23451/370570</f>
        <v>6.3283590144911889E-2</v>
      </c>
      <c r="I2296" t="s">
        <v>1821</v>
      </c>
      <c r="J2296" t="s">
        <v>1824</v>
      </c>
      <c r="K2296" s="6">
        <f t="shared" si="71"/>
        <v>6.3283590144911889E-2</v>
      </c>
    </row>
    <row r="2297" spans="1:11" x14ac:dyDescent="0.2">
      <c r="A2297" t="s">
        <v>1787</v>
      </c>
      <c r="B2297">
        <v>2013</v>
      </c>
      <c r="C2297" t="s">
        <v>1823</v>
      </c>
      <c r="D2297" t="s">
        <v>1823</v>
      </c>
      <c r="E2297" s="5">
        <f>40861/221774</f>
        <v>0.18424612443298133</v>
      </c>
      <c r="I2297" t="s">
        <v>1821</v>
      </c>
      <c r="J2297" t="s">
        <v>1825</v>
      </c>
      <c r="K2297" s="6">
        <f t="shared" si="71"/>
        <v>0.18424612443298133</v>
      </c>
    </row>
    <row r="2298" spans="1:11" x14ac:dyDescent="0.2">
      <c r="A2298" t="s">
        <v>1787</v>
      </c>
      <c r="B2298">
        <v>2014</v>
      </c>
      <c r="C2298" t="s">
        <v>1792</v>
      </c>
      <c r="D2298" t="s">
        <v>1823</v>
      </c>
      <c r="E2298" s="5">
        <f>80116/462431</f>
        <v>0.17324963075572355</v>
      </c>
      <c r="I2298" t="s">
        <v>1821</v>
      </c>
      <c r="J2298" t="s">
        <v>1825</v>
      </c>
      <c r="K2298" s="6">
        <f t="shared" si="71"/>
        <v>0.17324963075572355</v>
      </c>
    </row>
    <row r="2299" spans="1:11" x14ac:dyDescent="0.2">
      <c r="A2299" t="s">
        <v>1787</v>
      </c>
      <c r="B2299">
        <v>2016</v>
      </c>
      <c r="C2299" t="s">
        <v>1823</v>
      </c>
      <c r="D2299" t="s">
        <v>1823</v>
      </c>
      <c r="E2299" s="7">
        <f>416895/718753</f>
        <v>0.58002540511135259</v>
      </c>
      <c r="F2299" s="7"/>
      <c r="G2299" s="7"/>
      <c r="H2299" s="7"/>
      <c r="I2299" t="s">
        <v>1821</v>
      </c>
      <c r="J2299" t="s">
        <v>1822</v>
      </c>
      <c r="K2299" s="6">
        <f t="shared" si="71"/>
        <v>0.58002540511135259</v>
      </c>
    </row>
    <row r="2300" spans="1:11" x14ac:dyDescent="0.2">
      <c r="A2300" t="s">
        <v>1787</v>
      </c>
      <c r="B2300">
        <v>2009</v>
      </c>
      <c r="C2300" t="s">
        <v>1788</v>
      </c>
      <c r="D2300" t="s">
        <v>1788</v>
      </c>
      <c r="E2300" s="7">
        <f>23451/370570</f>
        <v>6.3283590144911889E-2</v>
      </c>
      <c r="F2300" s="7"/>
      <c r="G2300" s="7"/>
      <c r="H2300" s="7"/>
      <c r="I2300" t="s">
        <v>1821</v>
      </c>
      <c r="J2300" t="s">
        <v>1824</v>
      </c>
      <c r="K2300" s="6">
        <f t="shared" si="71"/>
        <v>6.3283590144911889E-2</v>
      </c>
    </row>
    <row r="2301" spans="1:11" x14ac:dyDescent="0.2">
      <c r="A2301" t="s">
        <v>1787</v>
      </c>
      <c r="B2301">
        <v>2010</v>
      </c>
      <c r="C2301" t="s">
        <v>1788</v>
      </c>
      <c r="D2301" t="s">
        <v>1788</v>
      </c>
      <c r="E2301" s="7">
        <f>23451/370570</f>
        <v>6.3283590144911889E-2</v>
      </c>
      <c r="F2301" s="7"/>
      <c r="G2301" s="7"/>
      <c r="H2301" s="7"/>
      <c r="I2301" t="s">
        <v>1821</v>
      </c>
      <c r="J2301" t="s">
        <v>1824</v>
      </c>
      <c r="K2301" s="6">
        <f t="shared" si="71"/>
        <v>6.3283590144911889E-2</v>
      </c>
    </row>
    <row r="2302" spans="1:11" x14ac:dyDescent="0.2">
      <c r="A2302" t="s">
        <v>1787</v>
      </c>
      <c r="B2302">
        <v>2011</v>
      </c>
      <c r="C2302" t="s">
        <v>1788</v>
      </c>
      <c r="D2302" t="s">
        <v>1788</v>
      </c>
      <c r="E2302" s="7">
        <f>23451/370570</f>
        <v>6.3283590144911889E-2</v>
      </c>
      <c r="F2302" s="7"/>
      <c r="G2302" s="7"/>
      <c r="H2302" s="7"/>
      <c r="I2302" t="s">
        <v>1821</v>
      </c>
      <c r="J2302" t="s">
        <v>1824</v>
      </c>
      <c r="K2302" s="6">
        <f t="shared" si="71"/>
        <v>6.3283590144911889E-2</v>
      </c>
    </row>
    <row r="2303" spans="1:11" x14ac:dyDescent="0.2">
      <c r="A2303" t="s">
        <v>1787</v>
      </c>
      <c r="B2303">
        <v>2012</v>
      </c>
      <c r="C2303" t="s">
        <v>1788</v>
      </c>
      <c r="D2303" t="s">
        <v>1788</v>
      </c>
      <c r="E2303" s="7">
        <f>23451/370570</f>
        <v>6.3283590144911889E-2</v>
      </c>
      <c r="F2303" s="7"/>
      <c r="G2303" s="7"/>
      <c r="H2303" s="7"/>
      <c r="I2303" t="s">
        <v>1821</v>
      </c>
      <c r="J2303" t="s">
        <v>1824</v>
      </c>
      <c r="K2303" s="6">
        <f t="shared" si="71"/>
        <v>6.3283590144911889E-2</v>
      </c>
    </row>
    <row r="2304" spans="1:11" x14ac:dyDescent="0.2">
      <c r="A2304" t="s">
        <v>1787</v>
      </c>
      <c r="B2304">
        <v>2013</v>
      </c>
      <c r="C2304" t="s">
        <v>1788</v>
      </c>
      <c r="D2304" t="s">
        <v>1788</v>
      </c>
      <c r="E2304" s="7">
        <f>40861/221774</f>
        <v>0.18424612443298133</v>
      </c>
      <c r="F2304" s="7"/>
      <c r="G2304" s="7"/>
      <c r="H2304" s="7"/>
      <c r="I2304" t="s">
        <v>1821</v>
      </c>
      <c r="J2304" t="s">
        <v>1825</v>
      </c>
      <c r="K2304" s="6">
        <f t="shared" si="71"/>
        <v>0.18424612443298133</v>
      </c>
    </row>
    <row r="2305" spans="1:11" x14ac:dyDescent="0.2">
      <c r="A2305" t="s">
        <v>1787</v>
      </c>
      <c r="B2305">
        <v>2015</v>
      </c>
      <c r="C2305" t="s">
        <v>1788</v>
      </c>
      <c r="D2305" t="s">
        <v>1788</v>
      </c>
      <c r="E2305" s="7">
        <f>3384214/(4526237+3384214+2544167)</f>
        <v>0.3237051798544911</v>
      </c>
      <c r="F2305" s="7"/>
      <c r="G2305" s="7"/>
      <c r="H2305" s="7"/>
      <c r="I2305" t="s">
        <v>1826</v>
      </c>
      <c r="J2305" t="s">
        <v>1827</v>
      </c>
      <c r="K2305" s="6">
        <f t="shared" si="71"/>
        <v>0.3237051798544911</v>
      </c>
    </row>
    <row r="2306" spans="1:11" x14ac:dyDescent="0.2">
      <c r="A2306" t="s">
        <v>1787</v>
      </c>
      <c r="B2306">
        <v>2016</v>
      </c>
      <c r="C2306" t="s">
        <v>1788</v>
      </c>
      <c r="D2306" t="s">
        <v>1788</v>
      </c>
      <c r="E2306" s="7">
        <f>416895/718753</f>
        <v>0.58002540511135259</v>
      </c>
      <c r="F2306" s="7"/>
      <c r="G2306" s="7"/>
      <c r="H2306" s="7"/>
      <c r="I2306" t="s">
        <v>1821</v>
      </c>
      <c r="J2306" t="s">
        <v>1822</v>
      </c>
      <c r="K2306" s="6">
        <f t="shared" si="71"/>
        <v>0.58002540511135259</v>
      </c>
    </row>
    <row r="2307" spans="1:11" x14ac:dyDescent="0.2">
      <c r="A2307" t="s">
        <v>1787</v>
      </c>
      <c r="B2307">
        <v>2017</v>
      </c>
      <c r="C2307" s="8" t="s">
        <v>1788</v>
      </c>
      <c r="D2307" t="s">
        <v>1788</v>
      </c>
      <c r="E2307" s="7">
        <f>424144/658512</f>
        <v>0.64409456471560123</v>
      </c>
      <c r="F2307" s="7"/>
      <c r="G2307" s="7"/>
      <c r="H2307" s="7"/>
      <c r="I2307" t="s">
        <v>1821</v>
      </c>
      <c r="J2307" t="s">
        <v>1822</v>
      </c>
      <c r="K2307" s="6">
        <f t="shared" si="71"/>
        <v>0.64409456471560123</v>
      </c>
    </row>
    <row r="2308" spans="1:11" x14ac:dyDescent="0.2">
      <c r="A2308" s="9" t="s">
        <v>1787</v>
      </c>
      <c r="B2308" s="9">
        <v>2018</v>
      </c>
      <c r="C2308" s="14" t="s">
        <v>1788</v>
      </c>
      <c r="D2308" s="9" t="s">
        <v>1788</v>
      </c>
      <c r="E2308" s="10">
        <f>424144/658512</f>
        <v>0.64409456471560123</v>
      </c>
      <c r="F2308" s="10"/>
      <c r="G2308" s="10"/>
      <c r="H2308" s="10"/>
      <c r="I2308" s="9" t="s">
        <v>1821</v>
      </c>
      <c r="J2308" s="9" t="s">
        <v>1822</v>
      </c>
      <c r="K2308" s="17">
        <f t="shared" si="71"/>
        <v>0.64409456471560123</v>
      </c>
    </row>
    <row r="2309" spans="1:11" x14ac:dyDescent="0.2">
      <c r="A2309" t="s">
        <v>1828</v>
      </c>
      <c r="B2309">
        <v>2013</v>
      </c>
      <c r="C2309" t="s">
        <v>1829</v>
      </c>
      <c r="D2309" t="s">
        <v>1830</v>
      </c>
      <c r="E2309" s="5">
        <v>1</v>
      </c>
      <c r="I2309" t="s">
        <v>1831</v>
      </c>
      <c r="J2309" t="s">
        <v>1832</v>
      </c>
      <c r="K2309" s="6">
        <f t="shared" si="71"/>
        <v>1</v>
      </c>
    </row>
    <row r="2310" spans="1:11" x14ac:dyDescent="0.2">
      <c r="A2310" t="s">
        <v>1828</v>
      </c>
      <c r="B2310">
        <v>2016</v>
      </c>
      <c r="C2310" t="s">
        <v>1829</v>
      </c>
      <c r="D2310" t="s">
        <v>1830</v>
      </c>
      <c r="E2310" s="5">
        <v>1</v>
      </c>
      <c r="I2310" t="s">
        <v>1831</v>
      </c>
      <c r="J2310" t="s">
        <v>1832</v>
      </c>
      <c r="K2310" s="6">
        <f t="shared" si="71"/>
        <v>1</v>
      </c>
    </row>
    <row r="2311" spans="1:11" x14ac:dyDescent="0.2">
      <c r="A2311" t="s">
        <v>1828</v>
      </c>
      <c r="B2311" t="s">
        <v>125</v>
      </c>
      <c r="C2311" t="s">
        <v>1833</v>
      </c>
      <c r="D2311" t="s">
        <v>1830</v>
      </c>
      <c r="E2311" s="5">
        <v>1</v>
      </c>
      <c r="I2311" t="s">
        <v>1831</v>
      </c>
      <c r="J2311" t="s">
        <v>1832</v>
      </c>
      <c r="K2311" s="6">
        <f t="shared" si="71"/>
        <v>1</v>
      </c>
    </row>
    <row r="2312" spans="1:11" x14ac:dyDescent="0.2">
      <c r="A2312" t="s">
        <v>1828</v>
      </c>
      <c r="B2312">
        <v>2011</v>
      </c>
      <c r="C2312" t="s">
        <v>1834</v>
      </c>
      <c r="D2312" t="s">
        <v>1835</v>
      </c>
      <c r="E2312" s="5">
        <f>465903268593/4020399645911</f>
        <v>0.11588481485089498</v>
      </c>
      <c r="G2312" s="5">
        <f>3554496377318/4020399645911</f>
        <v>0.88411518514910503</v>
      </c>
      <c r="I2312" t="s">
        <v>1836</v>
      </c>
      <c r="J2312" t="s">
        <v>1837</v>
      </c>
      <c r="K2312" s="6">
        <f t="shared" si="71"/>
        <v>1</v>
      </c>
    </row>
    <row r="2313" spans="1:11" x14ac:dyDescent="0.2">
      <c r="A2313" t="s">
        <v>1828</v>
      </c>
      <c r="B2313">
        <v>2016</v>
      </c>
      <c r="C2313" t="s">
        <v>1834</v>
      </c>
      <c r="D2313" t="s">
        <v>1835</v>
      </c>
      <c r="E2313" s="5">
        <f>465903268593/4020399645911</f>
        <v>0.11588481485089498</v>
      </c>
      <c r="G2313" s="5">
        <f>3554496377318/4020399645911</f>
        <v>0.88411518514910503</v>
      </c>
      <c r="I2313" t="s">
        <v>1836</v>
      </c>
      <c r="J2313" t="s">
        <v>1837</v>
      </c>
      <c r="K2313" s="6">
        <f t="shared" si="71"/>
        <v>1</v>
      </c>
    </row>
    <row r="2314" spans="1:11" x14ac:dyDescent="0.2">
      <c r="A2314" t="s">
        <v>1828</v>
      </c>
      <c r="B2314">
        <v>2011</v>
      </c>
      <c r="C2314" t="s">
        <v>1829</v>
      </c>
      <c r="D2314" t="s">
        <v>1829</v>
      </c>
      <c r="E2314" s="5">
        <v>1</v>
      </c>
      <c r="I2314" t="s">
        <v>1831</v>
      </c>
      <c r="J2314" t="s">
        <v>1832</v>
      </c>
      <c r="K2314" s="6">
        <f t="shared" si="71"/>
        <v>1</v>
      </c>
    </row>
    <row r="2315" spans="1:11" x14ac:dyDescent="0.2">
      <c r="A2315" t="s">
        <v>1838</v>
      </c>
      <c r="B2315">
        <v>2012</v>
      </c>
      <c r="C2315" t="s">
        <v>1839</v>
      </c>
      <c r="D2315" t="s">
        <v>1839</v>
      </c>
      <c r="E2315" s="5">
        <f>203657/(203657+24164+14)</f>
        <v>0.89387934250663859</v>
      </c>
      <c r="H2315" s="5">
        <f>24164/(203657+24164+14)</f>
        <v>0.10605920951565827</v>
      </c>
      <c r="I2315" t="s">
        <v>1840</v>
      </c>
      <c r="J2315" t="s">
        <v>1841</v>
      </c>
      <c r="K2315" s="6">
        <f t="shared" si="71"/>
        <v>0.99993855202229687</v>
      </c>
    </row>
    <row r="2316" spans="1:11" x14ac:dyDescent="0.2">
      <c r="A2316" t="s">
        <v>1838</v>
      </c>
      <c r="B2316">
        <v>2013</v>
      </c>
      <c r="C2316" t="s">
        <v>1839</v>
      </c>
      <c r="D2316" t="s">
        <v>1839</v>
      </c>
      <c r="E2316" s="5">
        <f>230838/(230838+27457+16)</f>
        <v>0.89364370855286845</v>
      </c>
      <c r="H2316" s="5">
        <f>27457/(230838+27457+16)</f>
        <v>0.10629435060837518</v>
      </c>
      <c r="I2316" t="s">
        <v>1840</v>
      </c>
      <c r="J2316" t="s">
        <v>1841</v>
      </c>
      <c r="K2316" s="6">
        <f t="shared" si="71"/>
        <v>0.99993805916124368</v>
      </c>
    </row>
    <row r="2317" spans="1:11" x14ac:dyDescent="0.2">
      <c r="A2317" t="s">
        <v>1838</v>
      </c>
      <c r="B2317">
        <v>2015</v>
      </c>
      <c r="C2317" t="s">
        <v>1839</v>
      </c>
      <c r="D2317" t="s">
        <v>1839</v>
      </c>
      <c r="E2317" s="5">
        <f>(239650+13116)/254397</f>
        <v>0.99358876087375247</v>
      </c>
      <c r="H2317" s="5">
        <f>1631/254397</f>
        <v>6.4112391262475575E-3</v>
      </c>
      <c r="I2317" t="s">
        <v>1840</v>
      </c>
      <c r="J2317" t="s">
        <v>1842</v>
      </c>
      <c r="K2317" s="6">
        <f t="shared" si="71"/>
        <v>1</v>
      </c>
    </row>
    <row r="2318" spans="1:11" x14ac:dyDescent="0.2">
      <c r="A2318" t="s">
        <v>1838</v>
      </c>
      <c r="B2318">
        <v>2016</v>
      </c>
      <c r="C2318" t="s">
        <v>1839</v>
      </c>
      <c r="D2318" t="s">
        <v>1839</v>
      </c>
      <c r="E2318" s="5">
        <f>209359/210224</f>
        <v>0.99588534135017881</v>
      </c>
      <c r="I2318" t="s">
        <v>1843</v>
      </c>
      <c r="J2318" t="s">
        <v>1844</v>
      </c>
      <c r="K2318" s="6">
        <f t="shared" si="71"/>
        <v>0.99588534135017881</v>
      </c>
    </row>
    <row r="2319" spans="1:11" x14ac:dyDescent="0.2">
      <c r="A2319" t="s">
        <v>1838</v>
      </c>
      <c r="B2319">
        <v>2017</v>
      </c>
      <c r="C2319" t="s">
        <v>1839</v>
      </c>
      <c r="D2319" t="s">
        <v>1839</v>
      </c>
      <c r="E2319" s="5">
        <f>(172500+((6274*((20962)/1073507))))/178774</f>
        <v>0.96559069120019969</v>
      </c>
      <c r="H2319" s="5">
        <f>(6274*((1173+35035)/1073507))/178774</f>
        <v>1.1836949992857027E-3</v>
      </c>
      <c r="I2319" t="s">
        <v>1845</v>
      </c>
      <c r="J2319" t="s">
        <v>1846</v>
      </c>
      <c r="K2319" s="6">
        <f t="shared" si="71"/>
        <v>0.96677438619948541</v>
      </c>
    </row>
    <row r="2320" spans="1:11" x14ac:dyDescent="0.2">
      <c r="A2320" s="8" t="s">
        <v>1838</v>
      </c>
      <c r="B2320">
        <v>2018</v>
      </c>
      <c r="C2320" s="8" t="s">
        <v>1838</v>
      </c>
      <c r="D2320" t="s">
        <v>1839</v>
      </c>
      <c r="E2320" s="7">
        <f>(157970+(13364*((23755)/906441)))/171334</f>
        <v>0.92404443300322459</v>
      </c>
      <c r="F2320" s="7"/>
      <c r="G2320" s="7"/>
      <c r="H2320" s="7">
        <f>(13364*((4106+44633)/906441))/171334</f>
        <v>4.1940150629508543E-3</v>
      </c>
      <c r="I2320" t="s">
        <v>1845</v>
      </c>
      <c r="J2320" t="s">
        <v>1846</v>
      </c>
      <c r="K2320" s="6">
        <f t="shared" si="71"/>
        <v>0.92823844806617539</v>
      </c>
    </row>
    <row r="2321" spans="1:11" x14ac:dyDescent="0.2">
      <c r="A2321" t="s">
        <v>1838</v>
      </c>
      <c r="B2321">
        <v>2018</v>
      </c>
      <c r="C2321" s="8" t="s">
        <v>1838</v>
      </c>
      <c r="D2321" t="s">
        <v>1839</v>
      </c>
      <c r="E2321" s="7">
        <f>(157970+(13364*((23755)/906441)))/171334</f>
        <v>0.92404443300322459</v>
      </c>
      <c r="F2321" s="7"/>
      <c r="G2321" s="7"/>
      <c r="H2321" s="7">
        <f>(13364*((4106+44633)/906441))/171334</f>
        <v>4.1940150629508543E-3</v>
      </c>
      <c r="I2321" t="s">
        <v>1845</v>
      </c>
      <c r="J2321" t="s">
        <v>1846</v>
      </c>
      <c r="K2321" s="6">
        <f t="shared" si="71"/>
        <v>0.92823844806617539</v>
      </c>
    </row>
    <row r="2322" spans="1:11" x14ac:dyDescent="0.2">
      <c r="A2322" s="9" t="s">
        <v>1838</v>
      </c>
      <c r="B2322" s="9">
        <v>2019</v>
      </c>
      <c r="C2322" s="9" t="s">
        <v>1839</v>
      </c>
      <c r="D2322" s="9" t="s">
        <v>1839</v>
      </c>
      <c r="E2322" s="10">
        <f>(157970+(13364*((23755)/906441)))/171334</f>
        <v>0.92404443300322459</v>
      </c>
      <c r="F2322" s="10"/>
      <c r="G2322" s="10"/>
      <c r="H2322" s="10">
        <f>(13364*((4106+44633)/906441))/171334</f>
        <v>4.1940150629508543E-3</v>
      </c>
      <c r="I2322" s="9" t="s">
        <v>1845</v>
      </c>
      <c r="J2322" s="9" t="s">
        <v>1846</v>
      </c>
      <c r="K2322" s="17">
        <f t="shared" si="71"/>
        <v>0.92823844806617539</v>
      </c>
    </row>
    <row r="2323" spans="1:11" x14ac:dyDescent="0.2">
      <c r="A2323" t="s">
        <v>1838</v>
      </c>
      <c r="B2323">
        <v>2012</v>
      </c>
      <c r="C2323" t="s">
        <v>1839</v>
      </c>
      <c r="D2323" t="s">
        <v>1847</v>
      </c>
      <c r="E2323" s="7">
        <f>203657/(203657+24164+14)</f>
        <v>0.89387934250663859</v>
      </c>
      <c r="F2323" s="7"/>
      <c r="G2323" s="7"/>
      <c r="H2323" s="7">
        <f>24164/(203657+24164+14)</f>
        <v>0.10605920951565827</v>
      </c>
      <c r="I2323" t="s">
        <v>1848</v>
      </c>
      <c r="J2323" t="s">
        <v>1841</v>
      </c>
      <c r="K2323" s="6">
        <f t="shared" ref="K2323:K2386" si="72">SUM(E2323:H2323)</f>
        <v>0.99993855202229687</v>
      </c>
    </row>
    <row r="2324" spans="1:11" x14ac:dyDescent="0.2">
      <c r="A2324" t="s">
        <v>1838</v>
      </c>
      <c r="B2324">
        <v>2016</v>
      </c>
      <c r="C2324" t="s">
        <v>1839</v>
      </c>
      <c r="D2324" t="s">
        <v>1847</v>
      </c>
      <c r="E2324" s="7">
        <f>209359/210224</f>
        <v>0.99588534135017881</v>
      </c>
      <c r="F2324" s="7"/>
      <c r="G2324" s="7"/>
      <c r="H2324" s="7"/>
      <c r="I2324" t="s">
        <v>1849</v>
      </c>
      <c r="J2324" t="s">
        <v>1844</v>
      </c>
      <c r="K2324" s="6">
        <f t="shared" si="72"/>
        <v>0.99588534135017881</v>
      </c>
    </row>
    <row r="2325" spans="1:11" x14ac:dyDescent="0.2">
      <c r="A2325" s="8" t="s">
        <v>1838</v>
      </c>
      <c r="B2325">
        <v>2017</v>
      </c>
      <c r="C2325" s="8" t="s">
        <v>1839</v>
      </c>
      <c r="D2325" t="s">
        <v>1847</v>
      </c>
      <c r="E2325" s="7">
        <f>(172500+((6274*((20962)/1073507))))/178774</f>
        <v>0.96559069120019969</v>
      </c>
      <c r="F2325" s="7"/>
      <c r="G2325" s="7"/>
      <c r="H2325" s="7">
        <f>(6274*((1173+35035)/1073507))/178774</f>
        <v>1.1836949992857027E-3</v>
      </c>
      <c r="I2325" t="s">
        <v>1850</v>
      </c>
      <c r="J2325" t="s">
        <v>1846</v>
      </c>
      <c r="K2325" s="6">
        <f t="shared" si="72"/>
        <v>0.96677438619948541</v>
      </c>
    </row>
    <row r="2326" spans="1:11" x14ac:dyDescent="0.2">
      <c r="A2326" s="8" t="s">
        <v>1838</v>
      </c>
      <c r="B2326">
        <v>2018</v>
      </c>
      <c r="C2326" s="8" t="s">
        <v>1839</v>
      </c>
      <c r="D2326" t="s">
        <v>1847</v>
      </c>
      <c r="E2326" s="7">
        <f>(157970+(13364*((23755)/906441)))/171334</f>
        <v>0.92404443300322459</v>
      </c>
      <c r="F2326" s="7"/>
      <c r="G2326" s="7"/>
      <c r="H2326" s="7">
        <f>(13364*((4106+44633)/906441))/171334</f>
        <v>4.1940150629508543E-3</v>
      </c>
      <c r="I2326" t="s">
        <v>1850</v>
      </c>
      <c r="J2326" t="s">
        <v>1846</v>
      </c>
      <c r="K2326" s="6">
        <f t="shared" si="72"/>
        <v>0.92823844806617539</v>
      </c>
    </row>
    <row r="2327" spans="1:11" x14ac:dyDescent="0.2">
      <c r="A2327" t="s">
        <v>1838</v>
      </c>
      <c r="B2327">
        <v>2018</v>
      </c>
      <c r="C2327" s="8" t="s">
        <v>1839</v>
      </c>
      <c r="D2327" t="s">
        <v>1847</v>
      </c>
      <c r="E2327" s="7">
        <f>(157970+(13364*((23755)/906441)))/171334</f>
        <v>0.92404443300322459</v>
      </c>
      <c r="F2327" s="7"/>
      <c r="G2327" s="7"/>
      <c r="H2327" s="7">
        <f>(13364*((4106+44633)/906441))/171334</f>
        <v>4.1940150629508543E-3</v>
      </c>
      <c r="I2327" t="s">
        <v>1850</v>
      </c>
      <c r="J2327" t="s">
        <v>1846</v>
      </c>
      <c r="K2327" s="6">
        <f t="shared" si="72"/>
        <v>0.92823844806617539</v>
      </c>
    </row>
    <row r="2328" spans="1:11" x14ac:dyDescent="0.2">
      <c r="A2328" t="s">
        <v>1838</v>
      </c>
      <c r="B2328">
        <v>2011</v>
      </c>
      <c r="C2328" t="s">
        <v>1851</v>
      </c>
      <c r="D2328" t="s">
        <v>1851</v>
      </c>
      <c r="E2328" s="7">
        <f>141069/(141069+16215+95)</f>
        <v>0.89636482631100722</v>
      </c>
      <c r="F2328" s="7"/>
      <c r="G2328" s="7"/>
      <c r="H2328" s="7">
        <f>16215/(141069+16215+95)</f>
        <v>0.10303153533825987</v>
      </c>
      <c r="I2328" t="s">
        <v>1848</v>
      </c>
      <c r="J2328" t="s">
        <v>1852</v>
      </c>
      <c r="K2328" s="6">
        <f t="shared" si="72"/>
        <v>0.99939636164926715</v>
      </c>
    </row>
    <row r="2329" spans="1:11" x14ac:dyDescent="0.2">
      <c r="A2329" t="s">
        <v>1838</v>
      </c>
      <c r="B2329">
        <v>2012</v>
      </c>
      <c r="C2329" t="s">
        <v>1851</v>
      </c>
      <c r="D2329" t="s">
        <v>1851</v>
      </c>
      <c r="E2329" s="7">
        <f>203657/(203657+24164+14)</f>
        <v>0.89387934250663859</v>
      </c>
      <c r="F2329" s="7"/>
      <c r="G2329" s="7"/>
      <c r="H2329" s="7">
        <f>24164/(203657+24164+14)</f>
        <v>0.10605920951565827</v>
      </c>
      <c r="I2329" t="s">
        <v>1848</v>
      </c>
      <c r="J2329" t="s">
        <v>1848</v>
      </c>
      <c r="K2329" s="6">
        <f t="shared" si="72"/>
        <v>0.99993855202229687</v>
      </c>
    </row>
    <row r="2330" spans="1:11" x14ac:dyDescent="0.2">
      <c r="A2330" t="s">
        <v>1838</v>
      </c>
      <c r="B2330">
        <v>2013</v>
      </c>
      <c r="C2330" t="s">
        <v>1851</v>
      </c>
      <c r="D2330" t="s">
        <v>1851</v>
      </c>
      <c r="E2330" s="7">
        <f>230838/(230838+27457+16)</f>
        <v>0.89364370855286845</v>
      </c>
      <c r="F2330" s="7"/>
      <c r="G2330" s="7"/>
      <c r="H2330" s="7">
        <f>27457/(230838+27457+16)</f>
        <v>0.10629435060837518</v>
      </c>
      <c r="I2330" t="s">
        <v>1848</v>
      </c>
      <c r="J2330" t="s">
        <v>1841</v>
      </c>
      <c r="K2330" s="6">
        <f t="shared" si="72"/>
        <v>0.99993805916124368</v>
      </c>
    </row>
    <row r="2331" spans="1:11" x14ac:dyDescent="0.2">
      <c r="A2331" t="s">
        <v>1838</v>
      </c>
      <c r="B2331">
        <v>2015</v>
      </c>
      <c r="C2331" t="s">
        <v>1851</v>
      </c>
      <c r="D2331" t="s">
        <v>1851</v>
      </c>
      <c r="E2331" s="7">
        <f>(239650+13116)/254397</f>
        <v>0.99358876087375247</v>
      </c>
      <c r="F2331" s="7"/>
      <c r="G2331" s="7"/>
      <c r="H2331" s="7">
        <f>1631/254397</f>
        <v>6.4112391262475575E-3</v>
      </c>
      <c r="I2331" t="s">
        <v>1848</v>
      </c>
      <c r="J2331" t="s">
        <v>1853</v>
      </c>
      <c r="K2331" s="6">
        <f t="shared" si="72"/>
        <v>1</v>
      </c>
    </row>
    <row r="2332" spans="1:11" x14ac:dyDescent="0.2">
      <c r="A2332" s="8" t="s">
        <v>1838</v>
      </c>
      <c r="B2332">
        <v>2016</v>
      </c>
      <c r="C2332" s="8" t="s">
        <v>1839</v>
      </c>
      <c r="D2332" t="s">
        <v>1851</v>
      </c>
      <c r="E2332" s="7">
        <f>209359/210224</f>
        <v>0.99588534135017881</v>
      </c>
      <c r="F2332" s="7"/>
      <c r="G2332" s="7"/>
      <c r="H2332" s="7"/>
      <c r="I2332" t="s">
        <v>1849</v>
      </c>
      <c r="J2332" t="s">
        <v>1844</v>
      </c>
      <c r="K2332" s="6">
        <f t="shared" si="72"/>
        <v>0.99588534135017881</v>
      </c>
    </row>
    <row r="2333" spans="1:11" x14ac:dyDescent="0.2">
      <c r="A2333" s="8" t="s">
        <v>1838</v>
      </c>
      <c r="B2333">
        <v>2017</v>
      </c>
      <c r="C2333" s="8" t="s">
        <v>1839</v>
      </c>
      <c r="D2333" t="s">
        <v>1851</v>
      </c>
      <c r="E2333" s="7">
        <f>(172500+((6274*((20962)/1073507))))/178774</f>
        <v>0.96559069120019969</v>
      </c>
      <c r="F2333" s="7"/>
      <c r="G2333" s="7"/>
      <c r="H2333" s="7">
        <f>(6274*((1173+35035)/1073507))/178774</f>
        <v>1.1836949992857027E-3</v>
      </c>
      <c r="I2333" t="s">
        <v>1850</v>
      </c>
      <c r="J2333" t="s">
        <v>1846</v>
      </c>
      <c r="K2333" s="6">
        <f t="shared" si="72"/>
        <v>0.96677438619948541</v>
      </c>
    </row>
    <row r="2334" spans="1:11" x14ac:dyDescent="0.2">
      <c r="A2334" t="s">
        <v>1838</v>
      </c>
      <c r="B2334">
        <v>2018</v>
      </c>
      <c r="C2334" t="s">
        <v>1851</v>
      </c>
      <c r="D2334" t="s">
        <v>1851</v>
      </c>
      <c r="E2334" s="7">
        <f>(157970+(13364*((23755)/906441)))/171334</f>
        <v>0.92404443300322459</v>
      </c>
      <c r="F2334" s="7"/>
      <c r="G2334" s="7"/>
      <c r="H2334" s="7">
        <f>(13364*((4106+44633)/906441))/171334</f>
        <v>4.1940150629508543E-3</v>
      </c>
      <c r="I2334" t="s">
        <v>1850</v>
      </c>
      <c r="J2334" t="s">
        <v>1846</v>
      </c>
      <c r="K2334" s="6">
        <f t="shared" si="72"/>
        <v>0.92823844806617539</v>
      </c>
    </row>
    <row r="2335" spans="1:11" x14ac:dyDescent="0.2">
      <c r="A2335" t="s">
        <v>1838</v>
      </c>
      <c r="B2335">
        <v>2016</v>
      </c>
      <c r="C2335" t="s">
        <v>1839</v>
      </c>
      <c r="D2335" t="s">
        <v>1854</v>
      </c>
      <c r="E2335" s="7">
        <f>209359/210224</f>
        <v>0.99588534135017881</v>
      </c>
      <c r="F2335" s="7"/>
      <c r="G2335" s="7"/>
      <c r="H2335" s="7"/>
      <c r="I2335" t="s">
        <v>1849</v>
      </c>
      <c r="J2335" t="s">
        <v>1844</v>
      </c>
      <c r="K2335" s="6">
        <f t="shared" si="72"/>
        <v>0.99588534135017881</v>
      </c>
    </row>
    <row r="2336" spans="1:11" x14ac:dyDescent="0.2">
      <c r="A2336" s="8" t="s">
        <v>1838</v>
      </c>
      <c r="B2336">
        <v>2016</v>
      </c>
      <c r="C2336" s="8" t="s">
        <v>1839</v>
      </c>
      <c r="D2336" t="s">
        <v>1855</v>
      </c>
      <c r="E2336" s="7">
        <f>209359/210224</f>
        <v>0.99588534135017881</v>
      </c>
      <c r="F2336" s="7"/>
      <c r="G2336" s="7"/>
      <c r="H2336" s="7"/>
      <c r="I2336" t="s">
        <v>1856</v>
      </c>
      <c r="J2336" t="s">
        <v>1844</v>
      </c>
      <c r="K2336" s="6">
        <f t="shared" si="72"/>
        <v>0.99588534135017881</v>
      </c>
    </row>
    <row r="2337" spans="1:11" x14ac:dyDescent="0.2">
      <c r="A2337" t="s">
        <v>1838</v>
      </c>
      <c r="B2337">
        <v>2011</v>
      </c>
      <c r="C2337" t="s">
        <v>1839</v>
      </c>
      <c r="D2337" t="s">
        <v>1857</v>
      </c>
      <c r="E2337" s="7">
        <f>141069/(141069+16215+95)</f>
        <v>0.89636482631100722</v>
      </c>
      <c r="F2337" s="7"/>
      <c r="G2337" s="7"/>
      <c r="H2337" s="7">
        <f>16215/(141069+16215+95)</f>
        <v>0.10303153533825987</v>
      </c>
      <c r="I2337" t="s">
        <v>1858</v>
      </c>
      <c r="J2337" t="s">
        <v>1852</v>
      </c>
      <c r="K2337" s="6">
        <f t="shared" si="72"/>
        <v>0.99939636164926715</v>
      </c>
    </row>
    <row r="2338" spans="1:11" x14ac:dyDescent="0.2">
      <c r="A2338" t="s">
        <v>1838</v>
      </c>
      <c r="B2338">
        <v>2016</v>
      </c>
      <c r="C2338" t="s">
        <v>1859</v>
      </c>
      <c r="D2338" t="s">
        <v>1859</v>
      </c>
      <c r="E2338" s="7">
        <f>209359/210224</f>
        <v>0.99588534135017881</v>
      </c>
      <c r="F2338" s="7"/>
      <c r="G2338" s="7"/>
      <c r="H2338" s="7"/>
      <c r="I2338" t="s">
        <v>1856</v>
      </c>
      <c r="J2338" t="s">
        <v>1844</v>
      </c>
      <c r="K2338" s="6">
        <f t="shared" si="72"/>
        <v>0.99588534135017881</v>
      </c>
    </row>
    <row r="2339" spans="1:11" x14ac:dyDescent="0.2">
      <c r="A2339" t="s">
        <v>1860</v>
      </c>
      <c r="B2339">
        <v>2015</v>
      </c>
      <c r="C2339" t="s">
        <v>1861</v>
      </c>
      <c r="D2339" t="s">
        <v>1861</v>
      </c>
      <c r="E2339" s="5">
        <f>(58900*((90519*(45095/48377))+4679+164)/(90519+4679+164))/60516</f>
        <v>0.91061918556362353</v>
      </c>
      <c r="I2339" t="s">
        <v>1862</v>
      </c>
      <c r="J2339" t="s">
        <v>1863</v>
      </c>
      <c r="K2339" s="6">
        <f t="shared" si="72"/>
        <v>0.91061918556362353</v>
      </c>
    </row>
    <row r="2340" spans="1:11" x14ac:dyDescent="0.2">
      <c r="A2340" t="s">
        <v>1860</v>
      </c>
      <c r="B2340">
        <v>2016</v>
      </c>
      <c r="C2340" t="s">
        <v>1861</v>
      </c>
      <c r="D2340" t="s">
        <v>1861</v>
      </c>
      <c r="E2340" s="5">
        <f>(63493*((112327*(44488/48107))+15745+0)/(112327+15745+0))/65300</f>
        <v>0.90817383589887768</v>
      </c>
      <c r="I2340" t="s">
        <v>1862</v>
      </c>
      <c r="J2340" t="s">
        <v>1864</v>
      </c>
      <c r="K2340" s="6">
        <f t="shared" si="72"/>
        <v>0.90817383589887768</v>
      </c>
    </row>
    <row r="2341" spans="1:11" x14ac:dyDescent="0.2">
      <c r="A2341" t="s">
        <v>1860</v>
      </c>
      <c r="B2341">
        <v>2017</v>
      </c>
      <c r="C2341" t="s">
        <v>1861</v>
      </c>
      <c r="D2341" t="s">
        <v>1861</v>
      </c>
      <c r="E2341" s="5">
        <f>(2208+(78788*(((171871*(43335/59432))+4873+8)/(171871+4873+8))))/80996</f>
        <v>0.74381165364440305</v>
      </c>
      <c r="I2341" t="s">
        <v>1862</v>
      </c>
      <c r="J2341" t="s">
        <v>1865</v>
      </c>
      <c r="K2341" s="6">
        <f t="shared" si="72"/>
        <v>0.74381165364440305</v>
      </c>
    </row>
    <row r="2342" spans="1:11" x14ac:dyDescent="0.2">
      <c r="A2342" s="8" t="s">
        <v>1860</v>
      </c>
      <c r="B2342">
        <v>2018</v>
      </c>
      <c r="C2342" s="8" t="s">
        <v>1860</v>
      </c>
      <c r="D2342" t="s">
        <v>1861</v>
      </c>
      <c r="E2342" s="7">
        <f>(2171+(79336*(((108541*(43335/59432))+17965+134)/(108541+17965+134))))/81507</f>
        <v>0.77404450517544621</v>
      </c>
      <c r="F2342" s="7"/>
      <c r="G2342" s="7"/>
      <c r="H2342" s="7"/>
      <c r="I2342" t="s">
        <v>1862</v>
      </c>
      <c r="J2342" t="s">
        <v>1866</v>
      </c>
      <c r="K2342" s="6">
        <f t="shared" si="72"/>
        <v>0.77404450517544621</v>
      </c>
    </row>
    <row r="2343" spans="1:11" x14ac:dyDescent="0.2">
      <c r="A2343" t="s">
        <v>1860</v>
      </c>
      <c r="B2343">
        <v>2018</v>
      </c>
      <c r="C2343" s="8" t="s">
        <v>1860</v>
      </c>
      <c r="D2343" t="s">
        <v>1861</v>
      </c>
      <c r="E2343" s="7">
        <f>(2171+(79336*(((108541*(43335/59432))+17965+134)/(108541+17965+134))))/81507</f>
        <v>0.77404450517544621</v>
      </c>
      <c r="F2343" s="7"/>
      <c r="G2343" s="7"/>
      <c r="H2343" s="7"/>
      <c r="I2343" t="s">
        <v>1862</v>
      </c>
      <c r="J2343" t="s">
        <v>1866</v>
      </c>
      <c r="K2343" s="6">
        <f t="shared" si="72"/>
        <v>0.77404450517544621</v>
      </c>
    </row>
    <row r="2344" spans="1:11" x14ac:dyDescent="0.2">
      <c r="A2344" t="s">
        <v>1860</v>
      </c>
      <c r="B2344">
        <v>2018</v>
      </c>
      <c r="C2344" t="s">
        <v>1861</v>
      </c>
      <c r="D2344" t="s">
        <v>1861</v>
      </c>
      <c r="E2344" s="7">
        <f>(2171+(79336*(((108541*(43335/59432))+17965+134)/(108541+17965+134))))/81507</f>
        <v>0.77404450517544621</v>
      </c>
      <c r="F2344" s="7"/>
      <c r="G2344" s="7"/>
      <c r="H2344" s="7"/>
      <c r="I2344" t="s">
        <v>1862</v>
      </c>
      <c r="J2344" t="s">
        <v>1866</v>
      </c>
      <c r="K2344" s="6">
        <f t="shared" si="72"/>
        <v>0.77404450517544621</v>
      </c>
    </row>
    <row r="2345" spans="1:11" x14ac:dyDescent="0.2">
      <c r="A2345" s="9" t="s">
        <v>1860</v>
      </c>
      <c r="B2345" s="9">
        <v>2019</v>
      </c>
      <c r="C2345" s="9" t="s">
        <v>1861</v>
      </c>
      <c r="D2345" s="9" t="s">
        <v>1861</v>
      </c>
      <c r="E2345" s="10">
        <f>(2171+(79336*(((108541*(43335/59432))+17965+134)/(108541+17965+134))))/81507</f>
        <v>0.77404450517544621</v>
      </c>
      <c r="F2345" s="10"/>
      <c r="G2345" s="10"/>
      <c r="H2345" s="10"/>
      <c r="I2345" s="9" t="s">
        <v>1862</v>
      </c>
      <c r="J2345" s="9" t="s">
        <v>1866</v>
      </c>
      <c r="K2345" s="6">
        <f t="shared" si="72"/>
        <v>0.77404450517544621</v>
      </c>
    </row>
    <row r="2346" spans="1:11" x14ac:dyDescent="0.2">
      <c r="A2346" t="s">
        <v>1867</v>
      </c>
      <c r="B2346">
        <v>2015</v>
      </c>
      <c r="C2346" t="s">
        <v>1868</v>
      </c>
      <c r="D2346" t="s">
        <v>1868</v>
      </c>
      <c r="E2346" s="5">
        <v>1</v>
      </c>
      <c r="I2346" t="s">
        <v>1869</v>
      </c>
      <c r="J2346" t="s">
        <v>1870</v>
      </c>
      <c r="K2346" s="6">
        <f t="shared" si="72"/>
        <v>1</v>
      </c>
    </row>
    <row r="2347" spans="1:11" x14ac:dyDescent="0.2">
      <c r="A2347" t="s">
        <v>1867</v>
      </c>
      <c r="B2347">
        <v>2016</v>
      </c>
      <c r="C2347" t="s">
        <v>1868</v>
      </c>
      <c r="D2347" t="s">
        <v>1868</v>
      </c>
      <c r="E2347" s="5">
        <v>1</v>
      </c>
      <c r="I2347" t="s">
        <v>1869</v>
      </c>
      <c r="J2347" t="s">
        <v>1870</v>
      </c>
      <c r="K2347" s="6">
        <f t="shared" si="72"/>
        <v>1</v>
      </c>
    </row>
    <row r="2348" spans="1:11" x14ac:dyDescent="0.2">
      <c r="A2348" t="s">
        <v>1867</v>
      </c>
      <c r="B2348">
        <v>2017</v>
      </c>
      <c r="C2348" t="s">
        <v>1868</v>
      </c>
      <c r="D2348" t="s">
        <v>1868</v>
      </c>
      <c r="E2348" s="5">
        <v>1</v>
      </c>
      <c r="I2348" t="s">
        <v>1869</v>
      </c>
      <c r="J2348" t="s">
        <v>1870</v>
      </c>
      <c r="K2348" s="6">
        <f t="shared" si="72"/>
        <v>1</v>
      </c>
    </row>
    <row r="2349" spans="1:11" x14ac:dyDescent="0.2">
      <c r="A2349" s="8" t="s">
        <v>1867</v>
      </c>
      <c r="B2349">
        <v>2018</v>
      </c>
      <c r="C2349" s="8" t="s">
        <v>1867</v>
      </c>
      <c r="D2349" t="s">
        <v>1868</v>
      </c>
      <c r="E2349" s="7">
        <v>1</v>
      </c>
      <c r="F2349" s="7"/>
      <c r="G2349" s="7"/>
      <c r="H2349" s="7"/>
      <c r="I2349" t="s">
        <v>1869</v>
      </c>
      <c r="J2349" t="s">
        <v>1871</v>
      </c>
      <c r="K2349" s="6">
        <f t="shared" si="72"/>
        <v>1</v>
      </c>
    </row>
    <row r="2350" spans="1:11" x14ac:dyDescent="0.2">
      <c r="A2350" t="s">
        <v>1867</v>
      </c>
      <c r="B2350">
        <v>2018</v>
      </c>
      <c r="C2350" s="8" t="s">
        <v>1867</v>
      </c>
      <c r="D2350" t="s">
        <v>1868</v>
      </c>
      <c r="E2350" s="7">
        <v>1</v>
      </c>
      <c r="F2350" s="7"/>
      <c r="G2350" s="7"/>
      <c r="H2350" s="7"/>
      <c r="I2350" t="s">
        <v>1869</v>
      </c>
      <c r="J2350" t="s">
        <v>1871</v>
      </c>
      <c r="K2350" s="6">
        <f t="shared" si="72"/>
        <v>1</v>
      </c>
    </row>
    <row r="2351" spans="1:11" x14ac:dyDescent="0.2">
      <c r="A2351" t="s">
        <v>1867</v>
      </c>
      <c r="B2351">
        <v>2018</v>
      </c>
      <c r="C2351" t="s">
        <v>1868</v>
      </c>
      <c r="D2351" t="s">
        <v>1868</v>
      </c>
      <c r="E2351" s="7">
        <v>1</v>
      </c>
      <c r="F2351" s="7"/>
      <c r="G2351" s="7"/>
      <c r="H2351" s="7"/>
      <c r="I2351" t="s">
        <v>1869</v>
      </c>
      <c r="J2351" t="s">
        <v>1871</v>
      </c>
      <c r="K2351" s="6">
        <f t="shared" si="72"/>
        <v>1</v>
      </c>
    </row>
    <row r="2352" spans="1:11" x14ac:dyDescent="0.2">
      <c r="A2352" s="14" t="s">
        <v>1867</v>
      </c>
      <c r="B2352" s="9">
        <v>2019</v>
      </c>
      <c r="C2352" s="14" t="s">
        <v>1867</v>
      </c>
      <c r="D2352" s="9" t="s">
        <v>1868</v>
      </c>
      <c r="E2352" s="10">
        <v>1</v>
      </c>
      <c r="F2352" s="10"/>
      <c r="G2352" s="10"/>
      <c r="H2352" s="10"/>
      <c r="I2352" s="9" t="s">
        <v>1869</v>
      </c>
      <c r="J2352" s="9" t="s">
        <v>1871</v>
      </c>
      <c r="K2352" s="6">
        <f t="shared" si="72"/>
        <v>1</v>
      </c>
    </row>
    <row r="2353" spans="1:11" x14ac:dyDescent="0.2">
      <c r="A2353" s="9" t="s">
        <v>1867</v>
      </c>
      <c r="B2353" s="9">
        <v>2019</v>
      </c>
      <c r="C2353" s="9" t="s">
        <v>1868</v>
      </c>
      <c r="D2353" s="9" t="s">
        <v>1868</v>
      </c>
      <c r="E2353" s="10">
        <v>1</v>
      </c>
      <c r="F2353" s="10"/>
      <c r="G2353" s="10"/>
      <c r="H2353" s="10"/>
      <c r="I2353" s="9" t="s">
        <v>1869</v>
      </c>
      <c r="J2353" s="9" t="s">
        <v>1871</v>
      </c>
      <c r="K2353" s="6">
        <f t="shared" si="72"/>
        <v>1</v>
      </c>
    </row>
    <row r="2354" spans="1:11" x14ac:dyDescent="0.2">
      <c r="A2354" t="s">
        <v>1872</v>
      </c>
      <c r="B2354">
        <v>2015</v>
      </c>
      <c r="C2354" t="s">
        <v>1873</v>
      </c>
      <c r="D2354" t="s">
        <v>1873</v>
      </c>
      <c r="E2354" s="5">
        <f>((90519+4679+164)/(90519+4679+164))</f>
        <v>1</v>
      </c>
      <c r="I2354" t="s">
        <v>1874</v>
      </c>
      <c r="J2354" t="s">
        <v>1875</v>
      </c>
      <c r="K2354" s="6">
        <f t="shared" si="72"/>
        <v>1</v>
      </c>
    </row>
    <row r="2355" spans="1:11" x14ac:dyDescent="0.2">
      <c r="A2355" t="s">
        <v>1872</v>
      </c>
      <c r="B2355">
        <v>2016</v>
      </c>
      <c r="C2355" t="s">
        <v>1873</v>
      </c>
      <c r="D2355" t="s">
        <v>1873</v>
      </c>
      <c r="E2355" s="5">
        <f>(112327+15745)/(112327+15745)</f>
        <v>1</v>
      </c>
      <c r="I2355" t="s">
        <v>1876</v>
      </c>
      <c r="J2355" t="s">
        <v>1877</v>
      </c>
      <c r="K2355" s="6">
        <f t="shared" si="72"/>
        <v>1</v>
      </c>
    </row>
    <row r="2356" spans="1:11" x14ac:dyDescent="0.2">
      <c r="A2356" t="s">
        <v>1872</v>
      </c>
      <c r="B2356">
        <v>2017</v>
      </c>
      <c r="C2356" t="s">
        <v>1873</v>
      </c>
      <c r="D2356" t="s">
        <v>1873</v>
      </c>
      <c r="E2356" s="7">
        <f>((171871*(43335/59432))+4873+8)/(171871+4873+8)</f>
        <v>0.73663208481725728</v>
      </c>
      <c r="F2356" s="7"/>
      <c r="G2356" s="7"/>
      <c r="H2356" s="7"/>
      <c r="I2356" t="s">
        <v>1876</v>
      </c>
      <c r="J2356" t="s">
        <v>1878</v>
      </c>
      <c r="K2356" s="6">
        <f t="shared" si="72"/>
        <v>0.73663208481725728</v>
      </c>
    </row>
    <row r="2357" spans="1:11" x14ac:dyDescent="0.2">
      <c r="A2357" s="8" t="s">
        <v>1872</v>
      </c>
      <c r="B2357">
        <v>2018</v>
      </c>
      <c r="C2357" s="8" t="s">
        <v>1872</v>
      </c>
      <c r="D2357" t="s">
        <v>1873</v>
      </c>
      <c r="E2357" s="7">
        <f>((108541*(43335/59432))+17965+134)/(108541+17965+134)</f>
        <v>0.76786131747674569</v>
      </c>
      <c r="F2357" s="7"/>
      <c r="G2357" s="7"/>
      <c r="H2357" s="7"/>
      <c r="I2357" t="s">
        <v>1876</v>
      </c>
      <c r="J2357" t="s">
        <v>1878</v>
      </c>
      <c r="K2357" s="6">
        <f t="shared" si="72"/>
        <v>0.76786131747674569</v>
      </c>
    </row>
    <row r="2358" spans="1:11" x14ac:dyDescent="0.2">
      <c r="A2358" t="s">
        <v>1872</v>
      </c>
      <c r="B2358">
        <v>2018</v>
      </c>
      <c r="C2358" s="8" t="s">
        <v>1872</v>
      </c>
      <c r="D2358" t="s">
        <v>1873</v>
      </c>
      <c r="E2358" s="7">
        <f>((108541*(43335/59432))+17965+134)/(108541+17965+134)</f>
        <v>0.76786131747674569</v>
      </c>
      <c r="F2358" s="7"/>
      <c r="G2358" s="7"/>
      <c r="H2358" s="7"/>
      <c r="I2358" t="s">
        <v>1876</v>
      </c>
      <c r="J2358" t="s">
        <v>1878</v>
      </c>
      <c r="K2358" s="6">
        <f t="shared" si="72"/>
        <v>0.76786131747674569</v>
      </c>
    </row>
    <row r="2359" spans="1:11" x14ac:dyDescent="0.2">
      <c r="A2359" t="s">
        <v>1872</v>
      </c>
      <c r="B2359">
        <v>2018</v>
      </c>
      <c r="C2359" t="s">
        <v>1873</v>
      </c>
      <c r="D2359" t="s">
        <v>1873</v>
      </c>
      <c r="E2359" s="7">
        <f>((108541*(43335/59432))+17965+134)/(108541+17965+134)</f>
        <v>0.76786131747674569</v>
      </c>
      <c r="F2359" s="7"/>
      <c r="G2359" s="7"/>
      <c r="H2359" s="7"/>
      <c r="I2359" t="s">
        <v>1876</v>
      </c>
      <c r="J2359" t="s">
        <v>1878</v>
      </c>
      <c r="K2359" s="6">
        <f t="shared" si="72"/>
        <v>0.76786131747674569</v>
      </c>
    </row>
    <row r="2360" spans="1:11" x14ac:dyDescent="0.2">
      <c r="A2360" s="9" t="s">
        <v>1872</v>
      </c>
      <c r="B2360" s="9">
        <v>2019</v>
      </c>
      <c r="C2360" s="9" t="s">
        <v>1873</v>
      </c>
      <c r="D2360" s="9" t="s">
        <v>1873</v>
      </c>
      <c r="E2360" s="10">
        <f>((108541*(43335/59432))+17965+134)/(108541+17965+134)</f>
        <v>0.76786131747674569</v>
      </c>
      <c r="F2360" s="10"/>
      <c r="G2360" s="10"/>
      <c r="H2360" s="10"/>
      <c r="I2360" s="9" t="s">
        <v>1876</v>
      </c>
      <c r="J2360" s="9" t="s">
        <v>1878</v>
      </c>
      <c r="K2360" s="6">
        <f t="shared" si="72"/>
        <v>0.76786131747674569</v>
      </c>
    </row>
    <row r="2361" spans="1:11" x14ac:dyDescent="0.2">
      <c r="A2361" t="s">
        <v>1879</v>
      </c>
      <c r="B2361">
        <v>2015</v>
      </c>
      <c r="C2361" t="s">
        <v>1880</v>
      </c>
      <c r="D2361" t="s">
        <v>1880</v>
      </c>
      <c r="E2361" s="5">
        <v>1</v>
      </c>
      <c r="I2361" t="s">
        <v>1881</v>
      </c>
      <c r="J2361" t="s">
        <v>1882</v>
      </c>
      <c r="K2361" s="6">
        <f t="shared" si="72"/>
        <v>1</v>
      </c>
    </row>
    <row r="2362" spans="1:11" x14ac:dyDescent="0.2">
      <c r="A2362" t="s">
        <v>1879</v>
      </c>
      <c r="B2362">
        <v>2016</v>
      </c>
      <c r="C2362" t="s">
        <v>1880</v>
      </c>
      <c r="D2362" t="s">
        <v>1880</v>
      </c>
      <c r="E2362" s="5">
        <v>1</v>
      </c>
      <c r="I2362" t="s">
        <v>1881</v>
      </c>
      <c r="J2362" t="s">
        <v>1882</v>
      </c>
      <c r="K2362" s="6">
        <f t="shared" si="72"/>
        <v>1</v>
      </c>
    </row>
    <row r="2363" spans="1:11" x14ac:dyDescent="0.2">
      <c r="A2363" t="s">
        <v>1879</v>
      </c>
      <c r="B2363">
        <v>2017</v>
      </c>
      <c r="C2363" t="s">
        <v>1880</v>
      </c>
      <c r="D2363" t="s">
        <v>1880</v>
      </c>
      <c r="E2363" s="7">
        <v>1</v>
      </c>
      <c r="F2363" s="7"/>
      <c r="G2363" s="7"/>
      <c r="H2363" s="7"/>
      <c r="I2363" t="s">
        <v>1881</v>
      </c>
      <c r="J2363" t="s">
        <v>1882</v>
      </c>
      <c r="K2363" s="6">
        <f t="shared" si="72"/>
        <v>1</v>
      </c>
    </row>
    <row r="2364" spans="1:11" x14ac:dyDescent="0.2">
      <c r="A2364" s="8" t="s">
        <v>1879</v>
      </c>
      <c r="B2364">
        <v>2018</v>
      </c>
      <c r="C2364" s="8" t="s">
        <v>1879</v>
      </c>
      <c r="D2364" t="s">
        <v>1880</v>
      </c>
      <c r="E2364" s="5">
        <v>1</v>
      </c>
      <c r="I2364" t="s">
        <v>1881</v>
      </c>
      <c r="J2364" t="s">
        <v>1883</v>
      </c>
      <c r="K2364" s="6">
        <f t="shared" si="72"/>
        <v>1</v>
      </c>
    </row>
    <row r="2365" spans="1:11" x14ac:dyDescent="0.2">
      <c r="A2365" t="s">
        <v>1879</v>
      </c>
      <c r="B2365">
        <v>2018</v>
      </c>
      <c r="C2365" s="8" t="s">
        <v>1879</v>
      </c>
      <c r="D2365" t="s">
        <v>1880</v>
      </c>
      <c r="E2365" s="7">
        <v>1</v>
      </c>
      <c r="F2365" s="7"/>
      <c r="G2365" s="7"/>
      <c r="H2365" s="7"/>
      <c r="I2365" t="s">
        <v>1881</v>
      </c>
      <c r="J2365" t="s">
        <v>1883</v>
      </c>
      <c r="K2365" s="6">
        <f t="shared" si="72"/>
        <v>1</v>
      </c>
    </row>
    <row r="2366" spans="1:11" x14ac:dyDescent="0.2">
      <c r="A2366" t="s">
        <v>1879</v>
      </c>
      <c r="B2366">
        <v>2018</v>
      </c>
      <c r="C2366" t="s">
        <v>1880</v>
      </c>
      <c r="D2366" t="s">
        <v>1880</v>
      </c>
      <c r="E2366" s="7">
        <v>1</v>
      </c>
      <c r="F2366" s="7"/>
      <c r="G2366" s="7"/>
      <c r="H2366" s="7"/>
      <c r="I2366" t="s">
        <v>1881</v>
      </c>
      <c r="J2366" t="s">
        <v>1883</v>
      </c>
      <c r="K2366" s="6">
        <f t="shared" si="72"/>
        <v>1</v>
      </c>
    </row>
    <row r="2367" spans="1:11" x14ac:dyDescent="0.2">
      <c r="A2367" s="9" t="s">
        <v>1879</v>
      </c>
      <c r="B2367" s="9">
        <v>2019</v>
      </c>
      <c r="C2367" s="9" t="s">
        <v>1880</v>
      </c>
      <c r="D2367" s="9" t="s">
        <v>1880</v>
      </c>
      <c r="E2367" s="10">
        <v>1</v>
      </c>
      <c r="F2367" s="10"/>
      <c r="G2367" s="10"/>
      <c r="H2367" s="10"/>
      <c r="I2367" s="9" t="s">
        <v>1881</v>
      </c>
      <c r="J2367" s="9" t="s">
        <v>1883</v>
      </c>
      <c r="K2367" s="6">
        <f t="shared" si="72"/>
        <v>1</v>
      </c>
    </row>
    <row r="2368" spans="1:11" x14ac:dyDescent="0.2">
      <c r="A2368" t="s">
        <v>1884</v>
      </c>
      <c r="B2368">
        <v>2013</v>
      </c>
      <c r="C2368" t="s">
        <v>1885</v>
      </c>
      <c r="D2368" t="s">
        <v>1886</v>
      </c>
      <c r="G2368" s="5">
        <v>1</v>
      </c>
      <c r="I2368" t="s">
        <v>1887</v>
      </c>
      <c r="J2368" t="s">
        <v>1888</v>
      </c>
      <c r="K2368" s="6">
        <f t="shared" si="72"/>
        <v>1</v>
      </c>
    </row>
    <row r="2369" spans="1:13" x14ac:dyDescent="0.2">
      <c r="A2369" t="s">
        <v>1884</v>
      </c>
      <c r="B2369">
        <v>2015</v>
      </c>
      <c r="C2369" t="s">
        <v>1886</v>
      </c>
      <c r="D2369" t="s">
        <v>1886</v>
      </c>
      <c r="G2369" s="5">
        <v>1</v>
      </c>
      <c r="I2369" t="s">
        <v>1887</v>
      </c>
      <c r="J2369" t="s">
        <v>1888</v>
      </c>
      <c r="K2369" s="6">
        <f t="shared" si="72"/>
        <v>1</v>
      </c>
      <c r="M2369" t="s">
        <v>69</v>
      </c>
    </row>
    <row r="2370" spans="1:13" x14ac:dyDescent="0.2">
      <c r="A2370" t="s">
        <v>1884</v>
      </c>
      <c r="B2370">
        <v>2015</v>
      </c>
      <c r="C2370" t="s">
        <v>1889</v>
      </c>
      <c r="D2370" t="s">
        <v>1889</v>
      </c>
      <c r="G2370" s="5">
        <v>1</v>
      </c>
      <c r="I2370" t="s">
        <v>1890</v>
      </c>
      <c r="J2370" t="s">
        <v>1891</v>
      </c>
      <c r="K2370" s="6">
        <f t="shared" si="72"/>
        <v>1</v>
      </c>
      <c r="M2370" t="s">
        <v>69</v>
      </c>
    </row>
    <row r="2371" spans="1:13" x14ac:dyDescent="0.2">
      <c r="A2371" t="s">
        <v>1884</v>
      </c>
      <c r="B2371">
        <v>2016</v>
      </c>
      <c r="C2371" t="s">
        <v>1889</v>
      </c>
      <c r="D2371" t="s">
        <v>1889</v>
      </c>
      <c r="G2371" s="5">
        <v>1</v>
      </c>
      <c r="I2371" t="s">
        <v>1890</v>
      </c>
      <c r="J2371" t="s">
        <v>1891</v>
      </c>
      <c r="K2371" s="6">
        <f t="shared" si="72"/>
        <v>1</v>
      </c>
      <c r="M2371" t="s">
        <v>69</v>
      </c>
    </row>
    <row r="2372" spans="1:13" x14ac:dyDescent="0.2">
      <c r="A2372" t="s">
        <v>1884</v>
      </c>
      <c r="B2372">
        <v>2017</v>
      </c>
      <c r="C2372" t="s">
        <v>1889</v>
      </c>
      <c r="D2372" t="s">
        <v>1889</v>
      </c>
      <c r="G2372" s="5">
        <v>1</v>
      </c>
      <c r="I2372" t="s">
        <v>1890</v>
      </c>
      <c r="J2372" t="s">
        <v>1891</v>
      </c>
      <c r="K2372" s="6">
        <f t="shared" si="72"/>
        <v>1</v>
      </c>
      <c r="M2372" t="s">
        <v>69</v>
      </c>
    </row>
    <row r="2373" spans="1:13" x14ac:dyDescent="0.2">
      <c r="A2373" s="8" t="s">
        <v>1884</v>
      </c>
      <c r="B2373">
        <v>2018</v>
      </c>
      <c r="C2373" s="8" t="s">
        <v>1884</v>
      </c>
      <c r="D2373" t="s">
        <v>1889</v>
      </c>
      <c r="G2373" s="5">
        <v>1</v>
      </c>
      <c r="I2373" t="s">
        <v>1890</v>
      </c>
      <c r="J2373" t="s">
        <v>1891</v>
      </c>
      <c r="K2373" s="6">
        <f t="shared" si="72"/>
        <v>1</v>
      </c>
      <c r="M2373" t="s">
        <v>69</v>
      </c>
    </row>
    <row r="2374" spans="1:13" x14ac:dyDescent="0.2">
      <c r="A2374" t="s">
        <v>1884</v>
      </c>
      <c r="B2374">
        <v>2018</v>
      </c>
      <c r="C2374" s="8" t="s">
        <v>1884</v>
      </c>
      <c r="D2374" t="s">
        <v>1889</v>
      </c>
      <c r="G2374" s="5">
        <v>1</v>
      </c>
      <c r="I2374" t="s">
        <v>1890</v>
      </c>
      <c r="K2374" s="6">
        <f t="shared" si="72"/>
        <v>1</v>
      </c>
    </row>
    <row r="2375" spans="1:13" x14ac:dyDescent="0.2">
      <c r="A2375" t="s">
        <v>1884</v>
      </c>
      <c r="B2375">
        <v>2018</v>
      </c>
      <c r="C2375" t="s">
        <v>1889</v>
      </c>
      <c r="D2375" t="s">
        <v>1889</v>
      </c>
      <c r="G2375" s="5">
        <v>1</v>
      </c>
      <c r="I2375" t="s">
        <v>1890</v>
      </c>
      <c r="K2375" s="6">
        <f t="shared" si="72"/>
        <v>1</v>
      </c>
    </row>
    <row r="2376" spans="1:13" x14ac:dyDescent="0.2">
      <c r="A2376" t="s">
        <v>1884</v>
      </c>
      <c r="B2376">
        <v>2019</v>
      </c>
      <c r="C2376" t="s">
        <v>1889</v>
      </c>
      <c r="D2376" t="s">
        <v>1889</v>
      </c>
      <c r="G2376" s="5">
        <v>1</v>
      </c>
      <c r="I2376" t="s">
        <v>1890</v>
      </c>
      <c r="K2376" s="6">
        <f t="shared" si="72"/>
        <v>1</v>
      </c>
    </row>
    <row r="2377" spans="1:13" x14ac:dyDescent="0.2">
      <c r="A2377" t="s">
        <v>1884</v>
      </c>
      <c r="B2377">
        <v>2015</v>
      </c>
      <c r="C2377" t="s">
        <v>1892</v>
      </c>
      <c r="D2377" t="s">
        <v>1892</v>
      </c>
      <c r="G2377" s="5">
        <v>1</v>
      </c>
      <c r="I2377" t="s">
        <v>1893</v>
      </c>
      <c r="J2377" t="s">
        <v>1894</v>
      </c>
      <c r="K2377" s="6">
        <f t="shared" si="72"/>
        <v>1</v>
      </c>
    </row>
    <row r="2378" spans="1:13" x14ac:dyDescent="0.2">
      <c r="A2378" t="s">
        <v>1884</v>
      </c>
      <c r="B2378">
        <v>2016</v>
      </c>
      <c r="C2378" t="s">
        <v>1892</v>
      </c>
      <c r="D2378" t="s">
        <v>1892</v>
      </c>
      <c r="G2378" s="5">
        <v>1</v>
      </c>
      <c r="I2378" t="s">
        <v>1893</v>
      </c>
      <c r="J2378" t="s">
        <v>1894</v>
      </c>
      <c r="K2378" s="6">
        <f t="shared" si="72"/>
        <v>1</v>
      </c>
    </row>
    <row r="2379" spans="1:13" x14ac:dyDescent="0.2">
      <c r="A2379" t="s">
        <v>1884</v>
      </c>
      <c r="B2379">
        <v>2017</v>
      </c>
      <c r="C2379" t="s">
        <v>1892</v>
      </c>
      <c r="D2379" t="s">
        <v>1892</v>
      </c>
      <c r="G2379" s="5">
        <v>1</v>
      </c>
      <c r="I2379" t="s">
        <v>1893</v>
      </c>
      <c r="J2379" t="s">
        <v>1894</v>
      </c>
      <c r="K2379" s="6">
        <f t="shared" si="72"/>
        <v>1</v>
      </c>
    </row>
    <row r="2380" spans="1:13" x14ac:dyDescent="0.2">
      <c r="A2380" s="8" t="s">
        <v>1884</v>
      </c>
      <c r="B2380">
        <v>2018</v>
      </c>
      <c r="C2380" s="8" t="s">
        <v>1884</v>
      </c>
      <c r="D2380" t="s">
        <v>1892</v>
      </c>
      <c r="G2380" s="5">
        <v>1</v>
      </c>
      <c r="I2380" t="s">
        <v>1893</v>
      </c>
      <c r="J2380" t="s">
        <v>1894</v>
      </c>
      <c r="K2380" s="6">
        <f t="shared" si="72"/>
        <v>1</v>
      </c>
    </row>
    <row r="2381" spans="1:13" x14ac:dyDescent="0.2">
      <c r="A2381" t="s">
        <v>1884</v>
      </c>
      <c r="B2381">
        <v>2018</v>
      </c>
      <c r="C2381" s="8" t="s">
        <v>1884</v>
      </c>
      <c r="D2381" t="s">
        <v>1892</v>
      </c>
      <c r="G2381" s="5">
        <v>1</v>
      </c>
      <c r="I2381" t="s">
        <v>1893</v>
      </c>
      <c r="J2381" t="s">
        <v>1894</v>
      </c>
      <c r="K2381" s="6">
        <f t="shared" si="72"/>
        <v>1</v>
      </c>
    </row>
    <row r="2382" spans="1:13" x14ac:dyDescent="0.2">
      <c r="A2382" t="s">
        <v>1884</v>
      </c>
      <c r="B2382">
        <v>2019</v>
      </c>
      <c r="C2382" t="s">
        <v>1892</v>
      </c>
      <c r="D2382" t="s">
        <v>1892</v>
      </c>
      <c r="G2382" s="5">
        <v>1</v>
      </c>
      <c r="I2382" t="s">
        <v>1893</v>
      </c>
      <c r="J2382" t="s">
        <v>1894</v>
      </c>
      <c r="K2382" s="6">
        <f t="shared" si="72"/>
        <v>1</v>
      </c>
    </row>
    <row r="2383" spans="1:13" x14ac:dyDescent="0.2">
      <c r="A2383" t="s">
        <v>1884</v>
      </c>
      <c r="B2383">
        <v>2015</v>
      </c>
      <c r="C2383" t="s">
        <v>1895</v>
      </c>
      <c r="D2383" t="s">
        <v>1895</v>
      </c>
      <c r="H2383" s="5">
        <v>1</v>
      </c>
      <c r="I2383" t="s">
        <v>1896</v>
      </c>
      <c r="J2383" t="s">
        <v>1897</v>
      </c>
      <c r="K2383" s="6">
        <f t="shared" si="72"/>
        <v>1</v>
      </c>
    </row>
    <row r="2384" spans="1:13" x14ac:dyDescent="0.2">
      <c r="A2384" t="s">
        <v>1884</v>
      </c>
      <c r="B2384">
        <v>2013</v>
      </c>
      <c r="C2384" t="s">
        <v>1898</v>
      </c>
      <c r="D2384" t="s">
        <v>1899</v>
      </c>
      <c r="H2384" s="5">
        <v>1</v>
      </c>
      <c r="I2384" t="s">
        <v>1896</v>
      </c>
      <c r="J2384" t="s">
        <v>1897</v>
      </c>
      <c r="K2384" s="6">
        <f t="shared" si="72"/>
        <v>1</v>
      </c>
    </row>
    <row r="2385" spans="1:11" x14ac:dyDescent="0.2">
      <c r="A2385" t="s">
        <v>1884</v>
      </c>
      <c r="B2385">
        <v>2015</v>
      </c>
      <c r="C2385" t="s">
        <v>1900</v>
      </c>
      <c r="D2385" t="s">
        <v>1900</v>
      </c>
      <c r="G2385" s="5">
        <v>1</v>
      </c>
      <c r="I2385" t="s">
        <v>1901</v>
      </c>
      <c r="J2385" t="s">
        <v>1902</v>
      </c>
      <c r="K2385" s="6">
        <f t="shared" si="72"/>
        <v>1</v>
      </c>
    </row>
    <row r="2386" spans="1:11" x14ac:dyDescent="0.2">
      <c r="A2386" t="s">
        <v>1884</v>
      </c>
      <c r="B2386">
        <v>2016</v>
      </c>
      <c r="C2386" t="s">
        <v>1900</v>
      </c>
      <c r="D2386" t="s">
        <v>1900</v>
      </c>
      <c r="G2386" s="5">
        <v>1</v>
      </c>
      <c r="I2386" t="s">
        <v>1901</v>
      </c>
      <c r="J2386" t="s">
        <v>1902</v>
      </c>
      <c r="K2386" s="6">
        <f t="shared" si="72"/>
        <v>1</v>
      </c>
    </row>
    <row r="2387" spans="1:11" x14ac:dyDescent="0.2">
      <c r="A2387" t="s">
        <v>1884</v>
      </c>
      <c r="B2387">
        <v>2018</v>
      </c>
      <c r="C2387" t="s">
        <v>1900</v>
      </c>
      <c r="D2387" t="s">
        <v>1900</v>
      </c>
      <c r="G2387" s="5">
        <v>1</v>
      </c>
      <c r="I2387" t="s">
        <v>1901</v>
      </c>
      <c r="J2387" t="s">
        <v>1902</v>
      </c>
      <c r="K2387" s="6">
        <f t="shared" ref="K2387:K2450" si="73">SUM(E2387:H2387)</f>
        <v>1</v>
      </c>
    </row>
    <row r="2388" spans="1:11" x14ac:dyDescent="0.2">
      <c r="A2388" t="s">
        <v>1884</v>
      </c>
      <c r="B2388">
        <v>2019</v>
      </c>
      <c r="C2388" t="s">
        <v>1900</v>
      </c>
      <c r="D2388" t="s">
        <v>1900</v>
      </c>
      <c r="G2388" s="5">
        <v>1</v>
      </c>
      <c r="I2388" t="s">
        <v>1901</v>
      </c>
      <c r="J2388" t="s">
        <v>1902</v>
      </c>
      <c r="K2388" s="6">
        <f t="shared" si="73"/>
        <v>1</v>
      </c>
    </row>
    <row r="2389" spans="1:11" x14ac:dyDescent="0.2">
      <c r="A2389" t="s">
        <v>1884</v>
      </c>
      <c r="B2389">
        <v>2015</v>
      </c>
      <c r="C2389" t="s">
        <v>1903</v>
      </c>
      <c r="D2389" t="s">
        <v>1903</v>
      </c>
      <c r="G2389" s="5">
        <f>2/6</f>
        <v>0.33333333333333331</v>
      </c>
      <c r="H2389" s="5">
        <f>2/6</f>
        <v>0.33333333333333331</v>
      </c>
      <c r="I2389" t="s">
        <v>1904</v>
      </c>
      <c r="J2389" t="s">
        <v>1905</v>
      </c>
      <c r="K2389" s="6">
        <f t="shared" si="73"/>
        <v>0.66666666666666663</v>
      </c>
    </row>
    <row r="2390" spans="1:11" x14ac:dyDescent="0.2">
      <c r="A2390" t="s">
        <v>1884</v>
      </c>
      <c r="B2390">
        <v>2015</v>
      </c>
      <c r="C2390" t="s">
        <v>1906</v>
      </c>
      <c r="D2390" t="s">
        <v>1906</v>
      </c>
      <c r="G2390" s="5">
        <v>1</v>
      </c>
      <c r="I2390" t="s">
        <v>1907</v>
      </c>
      <c r="J2390" t="s">
        <v>1908</v>
      </c>
      <c r="K2390" s="6">
        <f t="shared" si="73"/>
        <v>1</v>
      </c>
    </row>
    <row r="2391" spans="1:11" x14ac:dyDescent="0.2">
      <c r="A2391" t="s">
        <v>1884</v>
      </c>
      <c r="B2391">
        <v>2016</v>
      </c>
      <c r="C2391" t="s">
        <v>1906</v>
      </c>
      <c r="D2391" t="s">
        <v>1906</v>
      </c>
      <c r="G2391" s="5">
        <v>1</v>
      </c>
      <c r="I2391" t="s">
        <v>1907</v>
      </c>
      <c r="J2391" t="s">
        <v>1908</v>
      </c>
      <c r="K2391" s="6">
        <f t="shared" si="73"/>
        <v>1</v>
      </c>
    </row>
    <row r="2392" spans="1:11" x14ac:dyDescent="0.2">
      <c r="A2392" t="s">
        <v>1884</v>
      </c>
      <c r="B2392">
        <v>2015</v>
      </c>
      <c r="C2392" t="s">
        <v>1909</v>
      </c>
      <c r="D2392" t="s">
        <v>1909</v>
      </c>
      <c r="G2392" s="5">
        <v>0.5</v>
      </c>
      <c r="I2392" t="s">
        <v>1910</v>
      </c>
      <c r="J2392" t="s">
        <v>1911</v>
      </c>
      <c r="K2392" s="6">
        <f t="shared" si="73"/>
        <v>0.5</v>
      </c>
    </row>
    <row r="2393" spans="1:11" x14ac:dyDescent="0.2">
      <c r="A2393" s="8" t="s">
        <v>1884</v>
      </c>
      <c r="B2393">
        <v>2018</v>
      </c>
      <c r="C2393" s="8" t="s">
        <v>1884</v>
      </c>
      <c r="D2393" t="s">
        <v>1912</v>
      </c>
      <c r="G2393" s="5">
        <v>1</v>
      </c>
      <c r="I2393" t="s">
        <v>1913</v>
      </c>
      <c r="K2393" s="6">
        <f t="shared" si="73"/>
        <v>1</v>
      </c>
    </row>
    <row r="2394" spans="1:11" x14ac:dyDescent="0.2">
      <c r="A2394" t="s">
        <v>1884</v>
      </c>
      <c r="B2394">
        <v>2019</v>
      </c>
      <c r="C2394" t="s">
        <v>1914</v>
      </c>
      <c r="D2394" t="s">
        <v>1914</v>
      </c>
      <c r="G2394" s="5">
        <v>1</v>
      </c>
      <c r="I2394" t="s">
        <v>1913</v>
      </c>
      <c r="K2394" s="6">
        <f t="shared" si="73"/>
        <v>1</v>
      </c>
    </row>
    <row r="2395" spans="1:11" x14ac:dyDescent="0.2">
      <c r="A2395" t="s">
        <v>1915</v>
      </c>
      <c r="B2395">
        <v>2016</v>
      </c>
      <c r="C2395" t="s">
        <v>1916</v>
      </c>
      <c r="D2395" t="s">
        <v>1916</v>
      </c>
      <c r="E2395" s="5">
        <f>2049/2104180</f>
        <v>9.7377600775599049E-4</v>
      </c>
      <c r="I2395" t="s">
        <v>1917</v>
      </c>
      <c r="J2395" t="s">
        <v>1918</v>
      </c>
      <c r="K2395" s="6">
        <f t="shared" si="73"/>
        <v>9.7377600775599049E-4</v>
      </c>
    </row>
    <row r="2396" spans="1:11" x14ac:dyDescent="0.2">
      <c r="A2396" t="s">
        <v>1915</v>
      </c>
      <c r="B2396">
        <v>2017</v>
      </c>
      <c r="C2396" t="s">
        <v>1916</v>
      </c>
      <c r="D2396" t="s">
        <v>1916</v>
      </c>
      <c r="E2396" s="5">
        <v>0</v>
      </c>
      <c r="I2396" t="s">
        <v>1919</v>
      </c>
      <c r="J2396" t="s">
        <v>1920</v>
      </c>
      <c r="K2396" s="6">
        <f t="shared" si="73"/>
        <v>0</v>
      </c>
    </row>
    <row r="2397" spans="1:11" x14ac:dyDescent="0.2">
      <c r="A2397" s="8" t="s">
        <v>1915</v>
      </c>
      <c r="B2397">
        <v>2018</v>
      </c>
      <c r="C2397" s="8" t="s">
        <v>1915</v>
      </c>
      <c r="D2397" t="s">
        <v>1916</v>
      </c>
      <c r="E2397" s="7">
        <v>0</v>
      </c>
      <c r="F2397" s="7"/>
      <c r="G2397" s="7"/>
      <c r="H2397" s="7"/>
      <c r="I2397" t="s">
        <v>1919</v>
      </c>
      <c r="J2397" t="s">
        <v>1920</v>
      </c>
      <c r="K2397" s="6">
        <f t="shared" si="73"/>
        <v>0</v>
      </c>
    </row>
    <row r="2398" spans="1:11" x14ac:dyDescent="0.2">
      <c r="A2398" t="s">
        <v>1915</v>
      </c>
      <c r="B2398">
        <v>2018</v>
      </c>
      <c r="C2398" s="8" t="s">
        <v>1915</v>
      </c>
      <c r="D2398" t="s">
        <v>1916</v>
      </c>
      <c r="E2398" s="7">
        <v>0</v>
      </c>
      <c r="F2398" s="7"/>
      <c r="G2398" s="7"/>
      <c r="H2398" s="7"/>
      <c r="I2398" t="s">
        <v>1919</v>
      </c>
      <c r="J2398" t="s">
        <v>1920</v>
      </c>
      <c r="K2398" s="6">
        <f t="shared" si="73"/>
        <v>0</v>
      </c>
    </row>
    <row r="2399" spans="1:11" x14ac:dyDescent="0.2">
      <c r="A2399" s="9" t="s">
        <v>1915</v>
      </c>
      <c r="B2399" s="9">
        <v>2018</v>
      </c>
      <c r="C2399" s="9" t="s">
        <v>1916</v>
      </c>
      <c r="D2399" s="9" t="s">
        <v>1916</v>
      </c>
      <c r="E2399" s="10">
        <v>0</v>
      </c>
      <c r="F2399" s="10"/>
      <c r="G2399" s="10"/>
      <c r="H2399" s="10"/>
      <c r="I2399" s="9" t="s">
        <v>1919</v>
      </c>
      <c r="J2399" s="9" t="s">
        <v>1920</v>
      </c>
      <c r="K2399" s="6">
        <f t="shared" si="73"/>
        <v>0</v>
      </c>
    </row>
    <row r="2400" spans="1:11" x14ac:dyDescent="0.2">
      <c r="A2400" s="9" t="s">
        <v>1915</v>
      </c>
      <c r="B2400" s="9">
        <v>2019</v>
      </c>
      <c r="C2400" s="9" t="s">
        <v>1916</v>
      </c>
      <c r="D2400" s="9" t="s">
        <v>1916</v>
      </c>
      <c r="E2400" s="10">
        <v>0</v>
      </c>
      <c r="F2400" s="10"/>
      <c r="G2400" s="10"/>
      <c r="H2400" s="10"/>
      <c r="I2400" s="9" t="s">
        <v>1919</v>
      </c>
      <c r="J2400" s="9" t="s">
        <v>1920</v>
      </c>
      <c r="K2400" s="6">
        <f t="shared" si="73"/>
        <v>0</v>
      </c>
    </row>
    <row r="2401" spans="1:11" x14ac:dyDescent="0.2">
      <c r="A2401" s="9" t="s">
        <v>1921</v>
      </c>
      <c r="B2401" s="9" t="s">
        <v>125</v>
      </c>
      <c r="C2401" s="9" t="s">
        <v>1922</v>
      </c>
      <c r="D2401" s="9" t="s">
        <v>1923</v>
      </c>
      <c r="E2401" s="10">
        <f>336167/949913</f>
        <v>0.35389240909430653</v>
      </c>
      <c r="F2401" s="10"/>
      <c r="G2401" s="10"/>
      <c r="H2401" s="10"/>
      <c r="I2401" s="9" t="s">
        <v>1924</v>
      </c>
      <c r="J2401" s="9" t="s">
        <v>1925</v>
      </c>
      <c r="K2401" s="6">
        <f t="shared" si="73"/>
        <v>0.35389240909430653</v>
      </c>
    </row>
    <row r="2402" spans="1:11" x14ac:dyDescent="0.2">
      <c r="A2402" t="s">
        <v>1921</v>
      </c>
      <c r="B2402">
        <v>2010</v>
      </c>
      <c r="C2402" t="s">
        <v>1926</v>
      </c>
      <c r="D2402" t="s">
        <v>1927</v>
      </c>
      <c r="E2402" s="5">
        <f>(413389+152082)/3007969</f>
        <v>0.18799096666222292</v>
      </c>
      <c r="I2402" t="s">
        <v>1928</v>
      </c>
      <c r="J2402" t="s">
        <v>1929</v>
      </c>
      <c r="K2402" s="6">
        <f t="shared" si="73"/>
        <v>0.18799096666222292</v>
      </c>
    </row>
    <row r="2403" spans="1:11" x14ac:dyDescent="0.2">
      <c r="A2403" t="s">
        <v>1921</v>
      </c>
      <c r="B2403">
        <v>2011</v>
      </c>
      <c r="C2403" t="s">
        <v>1926</v>
      </c>
      <c r="D2403" t="s">
        <v>1930</v>
      </c>
      <c r="E2403" s="5">
        <f>(299446+189971)/1792923</f>
        <v>0.27297156654245608</v>
      </c>
      <c r="I2403" t="s">
        <v>1931</v>
      </c>
      <c r="J2403" t="s">
        <v>1932</v>
      </c>
      <c r="K2403" s="6">
        <f t="shared" si="73"/>
        <v>0.27297156654245608</v>
      </c>
    </row>
    <row r="2404" spans="1:11" x14ac:dyDescent="0.2">
      <c r="A2404" t="s">
        <v>1921</v>
      </c>
      <c r="B2404">
        <v>2012</v>
      </c>
      <c r="C2404" t="s">
        <v>1926</v>
      </c>
      <c r="D2404" t="s">
        <v>1930</v>
      </c>
      <c r="E2404" s="5">
        <f>(974444+20840)/2069060</f>
        <v>0.48103196620687655</v>
      </c>
      <c r="I2404" t="s">
        <v>1931</v>
      </c>
      <c r="J2404" t="s">
        <v>1933</v>
      </c>
      <c r="K2404" s="6">
        <f t="shared" si="73"/>
        <v>0.48103196620687655</v>
      </c>
    </row>
    <row r="2405" spans="1:11" x14ac:dyDescent="0.2">
      <c r="A2405" t="s">
        <v>1921</v>
      </c>
      <c r="B2405">
        <v>2013</v>
      </c>
      <c r="C2405" t="s">
        <v>1926</v>
      </c>
      <c r="D2405" t="s">
        <v>1930</v>
      </c>
      <c r="E2405" s="5">
        <f>(540572+130552)/1447693</f>
        <v>0.46358171242107271</v>
      </c>
      <c r="I2405" t="s">
        <v>1924</v>
      </c>
      <c r="J2405" t="s">
        <v>1934</v>
      </c>
      <c r="K2405" s="6">
        <f t="shared" si="73"/>
        <v>0.46358171242107271</v>
      </c>
    </row>
    <row r="2406" spans="1:11" x14ac:dyDescent="0.2">
      <c r="A2406" t="s">
        <v>1921</v>
      </c>
      <c r="B2406">
        <v>2014</v>
      </c>
      <c r="C2406" t="s">
        <v>1926</v>
      </c>
      <c r="D2406" t="s">
        <v>1930</v>
      </c>
      <c r="E2406" s="5">
        <f>(361597+103832)/1365488</f>
        <v>0.34085176874494688</v>
      </c>
      <c r="I2406" t="s">
        <v>1924</v>
      </c>
      <c r="J2406" t="s">
        <v>1935</v>
      </c>
      <c r="K2406" s="6">
        <f t="shared" si="73"/>
        <v>0.34085176874494688</v>
      </c>
    </row>
    <row r="2407" spans="1:11" x14ac:dyDescent="0.2">
      <c r="A2407" t="s">
        <v>1921</v>
      </c>
      <c r="B2407">
        <v>2017</v>
      </c>
      <c r="C2407" t="s">
        <v>1926</v>
      </c>
      <c r="D2407" t="s">
        <v>1930</v>
      </c>
      <c r="E2407" s="5">
        <f>297079/946904</f>
        <v>0.31373718983128174</v>
      </c>
      <c r="I2407" t="s">
        <v>1924</v>
      </c>
      <c r="J2407" t="s">
        <v>1936</v>
      </c>
      <c r="K2407" s="6">
        <f t="shared" si="73"/>
        <v>0.31373718983128174</v>
      </c>
    </row>
    <row r="2408" spans="1:11" x14ac:dyDescent="0.2">
      <c r="A2408" s="8" t="s">
        <v>1921</v>
      </c>
      <c r="B2408">
        <v>2018</v>
      </c>
      <c r="C2408" s="8" t="s">
        <v>1921</v>
      </c>
      <c r="D2408" t="s">
        <v>1930</v>
      </c>
      <c r="E2408" s="7">
        <f>406181/2144430</f>
        <v>0.18941210484837462</v>
      </c>
      <c r="F2408" s="7"/>
      <c r="G2408" s="7"/>
      <c r="H2408" s="7"/>
      <c r="I2408" t="s">
        <v>1937</v>
      </c>
      <c r="J2408" t="s">
        <v>1938</v>
      </c>
      <c r="K2408" s="6">
        <f t="shared" si="73"/>
        <v>0.18941210484837462</v>
      </c>
    </row>
    <row r="2409" spans="1:11" x14ac:dyDescent="0.2">
      <c r="A2409" t="s">
        <v>1921</v>
      </c>
      <c r="B2409">
        <v>2018</v>
      </c>
      <c r="C2409" s="8" t="s">
        <v>1921</v>
      </c>
      <c r="D2409" t="s">
        <v>1930</v>
      </c>
      <c r="E2409" s="7">
        <f>406181/2144430</f>
        <v>0.18941210484837462</v>
      </c>
      <c r="F2409" s="7"/>
      <c r="G2409" s="7"/>
      <c r="H2409" s="7"/>
      <c r="I2409" t="s">
        <v>1937</v>
      </c>
      <c r="J2409" t="s">
        <v>1938</v>
      </c>
      <c r="K2409" s="6">
        <f t="shared" si="73"/>
        <v>0.18941210484837462</v>
      </c>
    </row>
    <row r="2410" spans="1:11" x14ac:dyDescent="0.2">
      <c r="A2410" t="s">
        <v>1921</v>
      </c>
      <c r="B2410">
        <v>2018</v>
      </c>
      <c r="C2410" t="s">
        <v>1926</v>
      </c>
      <c r="D2410" t="s">
        <v>1930</v>
      </c>
      <c r="E2410" s="7">
        <f>406181/2144430</f>
        <v>0.18941210484837462</v>
      </c>
      <c r="F2410" s="7"/>
      <c r="G2410" s="7"/>
      <c r="H2410" s="7"/>
      <c r="I2410" t="s">
        <v>1937</v>
      </c>
      <c r="J2410" t="s">
        <v>1938</v>
      </c>
      <c r="K2410" s="6">
        <f t="shared" si="73"/>
        <v>0.18941210484837462</v>
      </c>
    </row>
    <row r="2411" spans="1:11" x14ac:dyDescent="0.2">
      <c r="A2411" t="s">
        <v>1921</v>
      </c>
      <c r="B2411">
        <v>2018</v>
      </c>
      <c r="C2411" s="8" t="s">
        <v>1921</v>
      </c>
      <c r="D2411" t="s">
        <v>1930</v>
      </c>
      <c r="E2411" s="7">
        <f>406181/2144430</f>
        <v>0.18941210484837462</v>
      </c>
      <c r="I2411" t="s">
        <v>1937</v>
      </c>
      <c r="J2411" t="s">
        <v>1938</v>
      </c>
      <c r="K2411" s="6">
        <f t="shared" si="73"/>
        <v>0.18941210484837462</v>
      </c>
    </row>
    <row r="2412" spans="1:11" x14ac:dyDescent="0.2">
      <c r="A2412" t="s">
        <v>1921</v>
      </c>
      <c r="B2412">
        <v>2018</v>
      </c>
      <c r="C2412" t="s">
        <v>1926</v>
      </c>
      <c r="D2412" t="s">
        <v>1930</v>
      </c>
      <c r="E2412" s="7">
        <f>406181/2144430</f>
        <v>0.18941210484837462</v>
      </c>
      <c r="I2412" t="s">
        <v>1937</v>
      </c>
      <c r="J2412" t="s">
        <v>1938</v>
      </c>
      <c r="K2412" s="6">
        <f t="shared" si="73"/>
        <v>0.18941210484837462</v>
      </c>
    </row>
    <row r="2413" spans="1:11" x14ac:dyDescent="0.2">
      <c r="A2413" t="s">
        <v>1921</v>
      </c>
      <c r="B2413">
        <v>2017</v>
      </c>
      <c r="C2413" t="s">
        <v>1939</v>
      </c>
      <c r="D2413" t="s">
        <v>1939</v>
      </c>
      <c r="E2413" s="7">
        <f>297079/946904</f>
        <v>0.31373718983128174</v>
      </c>
      <c r="I2413" t="s">
        <v>1940</v>
      </c>
      <c r="J2413" t="s">
        <v>1936</v>
      </c>
      <c r="K2413" s="6">
        <f t="shared" si="73"/>
        <v>0.31373718983128174</v>
      </c>
    </row>
    <row r="2414" spans="1:11" x14ac:dyDescent="0.2">
      <c r="A2414" t="s">
        <v>1921</v>
      </c>
      <c r="B2414">
        <v>2016</v>
      </c>
      <c r="C2414" t="s">
        <v>1941</v>
      </c>
      <c r="D2414" t="s">
        <v>1941</v>
      </c>
      <c r="E2414" s="7">
        <f>(2289826173659+1486175782154+147116511533)/(2289826173659+1486175782154+3730263348+161583031083+147116511533+27109999396)</f>
        <v>0.95324472329685317</v>
      </c>
      <c r="I2414" t="s">
        <v>1942</v>
      </c>
      <c r="J2414" t="s">
        <v>1943</v>
      </c>
      <c r="K2414" s="6">
        <f t="shared" si="73"/>
        <v>0.95324472329685317</v>
      </c>
    </row>
    <row r="2415" spans="1:11" x14ac:dyDescent="0.2">
      <c r="A2415" s="8" t="s">
        <v>1921</v>
      </c>
      <c r="B2415">
        <v>2017</v>
      </c>
      <c r="C2415" s="8" t="s">
        <v>1921</v>
      </c>
      <c r="D2415" t="s">
        <v>1941</v>
      </c>
      <c r="E2415" s="12">
        <f>(2253199446760+1635740589992+140123264235)/(2253199446760+1635740589992+201943588748+140123264235+26731597173)</f>
        <v>0.94629186676820409</v>
      </c>
      <c r="I2415" t="s">
        <v>1942</v>
      </c>
      <c r="J2415" t="s">
        <v>1943</v>
      </c>
      <c r="K2415" s="6">
        <f t="shared" si="73"/>
        <v>0.94629186676820409</v>
      </c>
    </row>
    <row r="2416" spans="1:11" x14ac:dyDescent="0.2">
      <c r="A2416" s="8" t="s">
        <v>1921</v>
      </c>
      <c r="B2416">
        <v>2018</v>
      </c>
      <c r="C2416" s="8" t="s">
        <v>1921</v>
      </c>
      <c r="D2416" t="s">
        <v>1941</v>
      </c>
      <c r="E2416" s="12">
        <f>(2001900490217+1306703519790+168333566419)/3629327583572</f>
        <v>0.95801150388413903</v>
      </c>
      <c r="F2416" s="7"/>
      <c r="G2416" s="7"/>
      <c r="H2416" s="7"/>
      <c r="I2416" t="s">
        <v>1942</v>
      </c>
      <c r="J2416" t="s">
        <v>1944</v>
      </c>
      <c r="K2416" s="6">
        <f t="shared" si="73"/>
        <v>0.95801150388413903</v>
      </c>
    </row>
    <row r="2417" spans="1:11" x14ac:dyDescent="0.2">
      <c r="A2417" t="s">
        <v>1921</v>
      </c>
      <c r="B2417">
        <v>2018</v>
      </c>
      <c r="C2417" s="8" t="s">
        <v>1921</v>
      </c>
      <c r="D2417" t="s">
        <v>1941</v>
      </c>
      <c r="E2417" s="12">
        <f>(2001900490217+1306703519790+168333566419)/3629327583572</f>
        <v>0.95801150388413903</v>
      </c>
      <c r="F2417" s="18"/>
      <c r="G2417" s="18"/>
      <c r="H2417" s="18"/>
      <c r="I2417" t="s">
        <v>1942</v>
      </c>
      <c r="J2417" t="s">
        <v>1944</v>
      </c>
      <c r="K2417" s="6">
        <f t="shared" si="73"/>
        <v>0.95801150388413903</v>
      </c>
    </row>
    <row r="2418" spans="1:11" x14ac:dyDescent="0.2">
      <c r="A2418" t="s">
        <v>1921</v>
      </c>
      <c r="B2418">
        <v>2018</v>
      </c>
      <c r="C2418" s="8" t="s">
        <v>1921</v>
      </c>
      <c r="D2418" t="s">
        <v>1941</v>
      </c>
      <c r="E2418" s="12">
        <f>(2001900490217+1306703519790+168333566419)/3629327583572</f>
        <v>0.95801150388413903</v>
      </c>
      <c r="I2418" t="s">
        <v>1942</v>
      </c>
      <c r="J2418" t="s">
        <v>1944</v>
      </c>
      <c r="K2418" s="6">
        <f t="shared" si="73"/>
        <v>0.95801150388413903</v>
      </c>
    </row>
    <row r="2419" spans="1:11" x14ac:dyDescent="0.2">
      <c r="A2419" t="s">
        <v>1921</v>
      </c>
      <c r="B2419">
        <v>2010</v>
      </c>
      <c r="C2419" t="s">
        <v>1926</v>
      </c>
      <c r="D2419" t="s">
        <v>1926</v>
      </c>
      <c r="E2419" s="5">
        <f>(413389+152082)/3007969</f>
        <v>0.18799096666222292</v>
      </c>
      <c r="I2419" t="s">
        <v>1945</v>
      </c>
      <c r="J2419" t="s">
        <v>1946</v>
      </c>
      <c r="K2419" s="6">
        <f t="shared" si="73"/>
        <v>0.18799096666222292</v>
      </c>
    </row>
    <row r="2420" spans="1:11" x14ac:dyDescent="0.2">
      <c r="A2420" t="s">
        <v>1921</v>
      </c>
      <c r="B2420">
        <v>2011</v>
      </c>
      <c r="C2420" t="s">
        <v>1926</v>
      </c>
      <c r="D2420" t="s">
        <v>1926</v>
      </c>
      <c r="E2420" s="5">
        <f>(299446+189971)/1792923</f>
        <v>0.27297156654245608</v>
      </c>
      <c r="I2420" t="s">
        <v>1947</v>
      </c>
      <c r="J2420" t="s">
        <v>1948</v>
      </c>
      <c r="K2420" s="6">
        <f t="shared" si="73"/>
        <v>0.27297156654245608</v>
      </c>
    </row>
    <row r="2421" spans="1:11" x14ac:dyDescent="0.2">
      <c r="A2421" t="s">
        <v>1921</v>
      </c>
      <c r="B2421">
        <v>2012</v>
      </c>
      <c r="C2421" t="s">
        <v>1926</v>
      </c>
      <c r="D2421" t="s">
        <v>1926</v>
      </c>
      <c r="E2421" s="5">
        <f>(974444+20840)/2069060</f>
        <v>0.48103196620687655</v>
      </c>
      <c r="I2421" t="s">
        <v>1947</v>
      </c>
      <c r="J2421" t="s">
        <v>1949</v>
      </c>
      <c r="K2421" s="6">
        <f t="shared" si="73"/>
        <v>0.48103196620687655</v>
      </c>
    </row>
    <row r="2422" spans="1:11" x14ac:dyDescent="0.2">
      <c r="A2422" t="s">
        <v>1921</v>
      </c>
      <c r="B2422">
        <v>2014</v>
      </c>
      <c r="C2422" t="s">
        <v>1926</v>
      </c>
      <c r="D2422" t="s">
        <v>1926</v>
      </c>
      <c r="E2422" s="5">
        <f>(361597+103832)/1365488</f>
        <v>0.34085176874494688</v>
      </c>
      <c r="I2422" t="s">
        <v>1950</v>
      </c>
      <c r="J2422" t="s">
        <v>1951</v>
      </c>
      <c r="K2422" s="6">
        <f t="shared" si="73"/>
        <v>0.34085176874494688</v>
      </c>
    </row>
    <row r="2423" spans="1:11" x14ac:dyDescent="0.2">
      <c r="A2423" t="s">
        <v>1921</v>
      </c>
      <c r="B2423">
        <v>2015</v>
      </c>
      <c r="C2423" t="s">
        <v>1926</v>
      </c>
      <c r="D2423" t="s">
        <v>1926</v>
      </c>
      <c r="E2423" s="5">
        <f>336167/949913</f>
        <v>0.35389240909430653</v>
      </c>
      <c r="I2423" t="s">
        <v>1952</v>
      </c>
      <c r="J2423" t="s">
        <v>1925</v>
      </c>
      <c r="K2423" s="6">
        <f t="shared" si="73"/>
        <v>0.35389240909430653</v>
      </c>
    </row>
    <row r="2424" spans="1:11" x14ac:dyDescent="0.2">
      <c r="A2424" t="s">
        <v>1921</v>
      </c>
      <c r="B2424">
        <v>2016</v>
      </c>
      <c r="C2424" t="s">
        <v>1926</v>
      </c>
      <c r="D2424" t="s">
        <v>1926</v>
      </c>
      <c r="E2424" s="5">
        <f>305878/758618</f>
        <v>0.40320424772415103</v>
      </c>
      <c r="I2424" t="s">
        <v>1940</v>
      </c>
      <c r="J2424" t="s">
        <v>1953</v>
      </c>
      <c r="K2424" s="6">
        <f t="shared" si="73"/>
        <v>0.40320424772415103</v>
      </c>
    </row>
    <row r="2425" spans="1:11" x14ac:dyDescent="0.2">
      <c r="A2425" t="s">
        <v>1921</v>
      </c>
      <c r="B2425">
        <v>2017</v>
      </c>
      <c r="C2425" t="s">
        <v>1926</v>
      </c>
      <c r="D2425" t="s">
        <v>1926</v>
      </c>
      <c r="E2425" s="5">
        <f>297079/946904</f>
        <v>0.31373718983128174</v>
      </c>
      <c r="I2425" t="s">
        <v>1924</v>
      </c>
      <c r="J2425" t="s">
        <v>1936</v>
      </c>
      <c r="K2425" s="6">
        <f t="shared" si="73"/>
        <v>0.31373718983128174</v>
      </c>
    </row>
    <row r="2426" spans="1:11" x14ac:dyDescent="0.2">
      <c r="A2426" t="s">
        <v>1921</v>
      </c>
      <c r="B2426">
        <v>2018</v>
      </c>
      <c r="C2426" t="s">
        <v>1926</v>
      </c>
      <c r="D2426" t="s">
        <v>1926</v>
      </c>
      <c r="E2426" s="7">
        <f t="shared" ref="E2426:E2435" si="74">406181/2144430</f>
        <v>0.18941210484837462</v>
      </c>
      <c r="F2426" s="7"/>
      <c r="G2426" s="7"/>
      <c r="H2426" s="7"/>
      <c r="I2426" t="s">
        <v>1937</v>
      </c>
      <c r="J2426" t="s">
        <v>1938</v>
      </c>
      <c r="K2426" s="6">
        <f t="shared" si="73"/>
        <v>0.18941210484837462</v>
      </c>
    </row>
    <row r="2427" spans="1:11" x14ac:dyDescent="0.2">
      <c r="A2427" t="s">
        <v>1921</v>
      </c>
      <c r="B2427">
        <v>2018</v>
      </c>
      <c r="C2427" t="s">
        <v>1954</v>
      </c>
      <c r="D2427" t="s">
        <v>1954</v>
      </c>
      <c r="E2427" s="7">
        <f t="shared" si="74"/>
        <v>0.18941210484837462</v>
      </c>
      <c r="F2427" s="7"/>
      <c r="G2427" s="7"/>
      <c r="H2427" s="7"/>
      <c r="I2427" t="s">
        <v>1937</v>
      </c>
      <c r="J2427" t="s">
        <v>1938</v>
      </c>
      <c r="K2427" s="6">
        <f t="shared" si="73"/>
        <v>0.18941210484837462</v>
      </c>
    </row>
    <row r="2428" spans="1:11" x14ac:dyDescent="0.2">
      <c r="A2428" t="s">
        <v>1921</v>
      </c>
      <c r="B2428">
        <v>2018</v>
      </c>
      <c r="C2428" s="8" t="s">
        <v>1921</v>
      </c>
      <c r="D2428" t="s">
        <v>1926</v>
      </c>
      <c r="E2428" s="7">
        <f t="shared" si="74"/>
        <v>0.18941210484837462</v>
      </c>
      <c r="F2428" s="7"/>
      <c r="G2428" s="7"/>
      <c r="H2428" s="7"/>
      <c r="I2428" t="s">
        <v>1937</v>
      </c>
      <c r="J2428" t="s">
        <v>1938</v>
      </c>
      <c r="K2428" s="6">
        <f t="shared" si="73"/>
        <v>0.18941210484837462</v>
      </c>
    </row>
    <row r="2429" spans="1:11" x14ac:dyDescent="0.2">
      <c r="A2429" t="s">
        <v>1921</v>
      </c>
      <c r="B2429">
        <v>2018</v>
      </c>
      <c r="C2429" t="s">
        <v>1954</v>
      </c>
      <c r="D2429" t="s">
        <v>1954</v>
      </c>
      <c r="E2429" s="7">
        <f t="shared" si="74"/>
        <v>0.18941210484837462</v>
      </c>
      <c r="F2429" s="7"/>
      <c r="G2429" s="7"/>
      <c r="H2429" s="7"/>
      <c r="I2429" t="s">
        <v>1937</v>
      </c>
      <c r="J2429" t="s">
        <v>1938</v>
      </c>
      <c r="K2429" s="6">
        <f t="shared" si="73"/>
        <v>0.18941210484837462</v>
      </c>
    </row>
    <row r="2430" spans="1:11" x14ac:dyDescent="0.2">
      <c r="A2430" t="s">
        <v>1921</v>
      </c>
      <c r="B2430">
        <v>2018</v>
      </c>
      <c r="C2430" s="8" t="s">
        <v>1921</v>
      </c>
      <c r="D2430" t="s">
        <v>1926</v>
      </c>
      <c r="E2430" s="7">
        <f t="shared" si="74"/>
        <v>0.18941210484837462</v>
      </c>
      <c r="F2430" s="7"/>
      <c r="G2430" s="7"/>
      <c r="H2430" s="7"/>
      <c r="I2430" t="s">
        <v>1937</v>
      </c>
      <c r="J2430" t="s">
        <v>1938</v>
      </c>
      <c r="K2430" s="6">
        <f t="shared" si="73"/>
        <v>0.18941210484837462</v>
      </c>
    </row>
    <row r="2431" spans="1:11" x14ac:dyDescent="0.2">
      <c r="A2431" t="s">
        <v>1921</v>
      </c>
      <c r="B2431">
        <v>2018</v>
      </c>
      <c r="C2431" t="s">
        <v>1954</v>
      </c>
      <c r="D2431" t="s">
        <v>1954</v>
      </c>
      <c r="E2431" s="7">
        <f t="shared" si="74"/>
        <v>0.18941210484837462</v>
      </c>
      <c r="F2431" s="7"/>
      <c r="G2431" s="7"/>
      <c r="H2431" s="7"/>
      <c r="I2431" t="s">
        <v>1937</v>
      </c>
      <c r="J2431" t="s">
        <v>1938</v>
      </c>
      <c r="K2431" s="6">
        <f t="shared" si="73"/>
        <v>0.18941210484837462</v>
      </c>
    </row>
    <row r="2432" spans="1:11" x14ac:dyDescent="0.2">
      <c r="A2432" s="9" t="s">
        <v>1921</v>
      </c>
      <c r="B2432" s="9">
        <v>2019</v>
      </c>
      <c r="C2432" s="9" t="s">
        <v>1926</v>
      </c>
      <c r="D2432" s="9" t="s">
        <v>1926</v>
      </c>
      <c r="E2432" s="10">
        <f t="shared" si="74"/>
        <v>0.18941210484837462</v>
      </c>
      <c r="F2432" s="10"/>
      <c r="G2432" s="10"/>
      <c r="H2432" s="10"/>
      <c r="I2432" s="9" t="s">
        <v>1937</v>
      </c>
      <c r="J2432" s="9" t="s">
        <v>1938</v>
      </c>
      <c r="K2432" s="6">
        <f t="shared" si="73"/>
        <v>0.18941210484837462</v>
      </c>
    </row>
    <row r="2433" spans="1:11" x14ac:dyDescent="0.2">
      <c r="A2433" s="9" t="s">
        <v>1921</v>
      </c>
      <c r="B2433" s="9">
        <v>2019</v>
      </c>
      <c r="C2433" s="9" t="s">
        <v>1926</v>
      </c>
      <c r="D2433" s="9" t="s">
        <v>1926</v>
      </c>
      <c r="E2433" s="10">
        <f t="shared" si="74"/>
        <v>0.18941210484837462</v>
      </c>
      <c r="F2433" s="10"/>
      <c r="G2433" s="10"/>
      <c r="H2433" s="10"/>
      <c r="I2433" s="9" t="s">
        <v>1937</v>
      </c>
      <c r="J2433" s="9" t="s">
        <v>1938</v>
      </c>
      <c r="K2433" s="6">
        <f t="shared" si="73"/>
        <v>0.18941210484837462</v>
      </c>
    </row>
    <row r="2434" spans="1:11" x14ac:dyDescent="0.2">
      <c r="A2434" s="9" t="s">
        <v>1921</v>
      </c>
      <c r="B2434" s="9">
        <v>2019</v>
      </c>
      <c r="C2434" s="9" t="s">
        <v>1926</v>
      </c>
      <c r="D2434" s="9" t="s">
        <v>1955</v>
      </c>
      <c r="E2434" s="10">
        <f t="shared" si="74"/>
        <v>0.18941210484837462</v>
      </c>
      <c r="F2434" s="10"/>
      <c r="G2434" s="10"/>
      <c r="H2434" s="10"/>
      <c r="I2434" s="9" t="s">
        <v>1956</v>
      </c>
      <c r="J2434" s="9" t="s">
        <v>1938</v>
      </c>
      <c r="K2434" s="6">
        <f t="shared" si="73"/>
        <v>0.18941210484837462</v>
      </c>
    </row>
    <row r="2435" spans="1:11" x14ac:dyDescent="0.2">
      <c r="A2435" s="9" t="s">
        <v>1921</v>
      </c>
      <c r="B2435" s="9">
        <v>2019</v>
      </c>
      <c r="C2435" s="9" t="s">
        <v>1926</v>
      </c>
      <c r="D2435" s="9" t="s">
        <v>1955</v>
      </c>
      <c r="E2435" s="10">
        <f t="shared" si="74"/>
        <v>0.18941210484837462</v>
      </c>
      <c r="F2435" s="10"/>
      <c r="G2435" s="10"/>
      <c r="H2435" s="10"/>
      <c r="I2435" s="9" t="s">
        <v>1956</v>
      </c>
      <c r="J2435" s="9" t="s">
        <v>1938</v>
      </c>
      <c r="K2435" s="6">
        <f t="shared" si="73"/>
        <v>0.18941210484837462</v>
      </c>
    </row>
    <row r="2436" spans="1:11" x14ac:dyDescent="0.2">
      <c r="A2436" t="s">
        <v>1957</v>
      </c>
      <c r="B2436">
        <v>2016</v>
      </c>
      <c r="C2436" t="s">
        <v>1957</v>
      </c>
      <c r="D2436" t="s">
        <v>1958</v>
      </c>
      <c r="E2436" s="7">
        <v>1</v>
      </c>
      <c r="F2436" s="7"/>
      <c r="G2436" s="7"/>
      <c r="H2436" s="7"/>
      <c r="I2436" t="s">
        <v>1959</v>
      </c>
      <c r="J2436" t="s">
        <v>1960</v>
      </c>
      <c r="K2436" s="6">
        <f t="shared" si="73"/>
        <v>1</v>
      </c>
    </row>
    <row r="2437" spans="1:11" x14ac:dyDescent="0.2">
      <c r="A2437" t="s">
        <v>1957</v>
      </c>
      <c r="B2437">
        <v>2012</v>
      </c>
      <c r="C2437" t="s">
        <v>1957</v>
      </c>
      <c r="D2437" t="s">
        <v>1961</v>
      </c>
      <c r="E2437" s="11">
        <v>1</v>
      </c>
      <c r="F2437" s="11"/>
      <c r="G2437" s="11"/>
      <c r="H2437" s="11"/>
      <c r="I2437" t="s">
        <v>1962</v>
      </c>
      <c r="J2437" t="s">
        <v>1963</v>
      </c>
      <c r="K2437" s="6">
        <f t="shared" si="73"/>
        <v>1</v>
      </c>
    </row>
    <row r="2438" spans="1:11" x14ac:dyDescent="0.2">
      <c r="A2438" t="s">
        <v>1957</v>
      </c>
      <c r="B2438">
        <v>2011</v>
      </c>
      <c r="C2438" t="s">
        <v>1957</v>
      </c>
      <c r="D2438" t="s">
        <v>1964</v>
      </c>
      <c r="E2438" s="11">
        <v>1</v>
      </c>
      <c r="F2438" s="11"/>
      <c r="G2438" s="11"/>
      <c r="H2438" s="11"/>
      <c r="I2438" t="s">
        <v>1965</v>
      </c>
      <c r="J2438" t="s">
        <v>1966</v>
      </c>
      <c r="K2438" s="6">
        <f t="shared" si="73"/>
        <v>1</v>
      </c>
    </row>
    <row r="2439" spans="1:11" x14ac:dyDescent="0.2">
      <c r="A2439" t="s">
        <v>1957</v>
      </c>
      <c r="B2439">
        <v>2015</v>
      </c>
      <c r="C2439" t="s">
        <v>1967</v>
      </c>
      <c r="D2439" t="s">
        <v>1967</v>
      </c>
      <c r="E2439" s="5">
        <f>35824/(10822+35824+682+2303+27)</f>
        <v>0.72141447500906197</v>
      </c>
      <c r="H2439" s="5">
        <f>10822/(10822+35824+682+2303+27)</f>
        <v>0.21793064561601352</v>
      </c>
      <c r="I2439" t="s">
        <v>1968</v>
      </c>
      <c r="J2439" t="s">
        <v>1969</v>
      </c>
      <c r="K2439" s="6">
        <f t="shared" si="73"/>
        <v>0.93934512062507547</v>
      </c>
    </row>
    <row r="2440" spans="1:11" x14ac:dyDescent="0.2">
      <c r="A2440" t="s">
        <v>1957</v>
      </c>
      <c r="B2440">
        <v>2016</v>
      </c>
      <c r="C2440" t="s">
        <v>1967</v>
      </c>
      <c r="D2440" t="s">
        <v>1967</v>
      </c>
      <c r="E2440" s="5">
        <f>38643/47306</f>
        <v>0.81687312391662792</v>
      </c>
      <c r="H2440" s="5">
        <f>8148/47306</f>
        <v>0.17224030778336785</v>
      </c>
      <c r="I2440" t="s">
        <v>1968</v>
      </c>
      <c r="J2440" t="s">
        <v>1970</v>
      </c>
      <c r="K2440" s="6">
        <f t="shared" si="73"/>
        <v>0.98911343169999577</v>
      </c>
    </row>
    <row r="2441" spans="1:11" x14ac:dyDescent="0.2">
      <c r="A2441" t="s">
        <v>1957</v>
      </c>
      <c r="B2441">
        <v>2017</v>
      </c>
      <c r="C2441" t="s">
        <v>1967</v>
      </c>
      <c r="D2441" t="s">
        <v>1967</v>
      </c>
      <c r="E2441" s="5">
        <f>36398/42213</f>
        <v>0.86224622746547275</v>
      </c>
      <c r="H2441" s="5">
        <f>7942/42213</f>
        <v>0.18814109397578946</v>
      </c>
      <c r="I2441" t="s">
        <v>1968</v>
      </c>
      <c r="J2441" t="s">
        <v>1970</v>
      </c>
      <c r="K2441" s="6">
        <f t="shared" si="73"/>
        <v>1.0503873214412622</v>
      </c>
    </row>
    <row r="2442" spans="1:11" x14ac:dyDescent="0.2">
      <c r="A2442" t="s">
        <v>1957</v>
      </c>
      <c r="B2442">
        <v>2018</v>
      </c>
      <c r="C2442" t="s">
        <v>1967</v>
      </c>
      <c r="D2442" t="s">
        <v>1967</v>
      </c>
      <c r="E2442" s="7">
        <f>8925/(3668+8925+1306+660+13+0)</f>
        <v>0.61247598133406533</v>
      </c>
      <c r="F2442" s="7"/>
      <c r="G2442" s="7"/>
      <c r="H2442" s="7">
        <f>3668/(3668+8925+1306+660+13+0)</f>
        <v>0.25171561899533351</v>
      </c>
      <c r="I2442" t="s">
        <v>1968</v>
      </c>
      <c r="J2442" t="s">
        <v>1971</v>
      </c>
      <c r="K2442" s="6">
        <f t="shared" si="73"/>
        <v>0.86419160032939879</v>
      </c>
    </row>
    <row r="2443" spans="1:11" x14ac:dyDescent="0.2">
      <c r="A2443" t="s">
        <v>1957</v>
      </c>
      <c r="B2443">
        <v>2018</v>
      </c>
      <c r="C2443" s="8" t="s">
        <v>1957</v>
      </c>
      <c r="D2443" t="s">
        <v>1967</v>
      </c>
      <c r="E2443" s="7">
        <f>8925/(3668+8925+1306+660+13+0)</f>
        <v>0.61247598133406533</v>
      </c>
      <c r="F2443" s="7"/>
      <c r="G2443" s="7"/>
      <c r="H2443" s="7">
        <f>3668/(3668+8925+1306+660+13+0)</f>
        <v>0.25171561899533351</v>
      </c>
      <c r="I2443" t="s">
        <v>1968</v>
      </c>
      <c r="J2443" t="s">
        <v>1971</v>
      </c>
      <c r="K2443" s="6">
        <f t="shared" si="73"/>
        <v>0.86419160032939879</v>
      </c>
    </row>
    <row r="2444" spans="1:11" x14ac:dyDescent="0.2">
      <c r="A2444" t="s">
        <v>1957</v>
      </c>
      <c r="B2444">
        <v>2018</v>
      </c>
      <c r="C2444" t="s">
        <v>1967</v>
      </c>
      <c r="D2444" t="s">
        <v>1967</v>
      </c>
      <c r="E2444" s="7">
        <f>8925/(3668+8925+1306+660+13+0)</f>
        <v>0.61247598133406533</v>
      </c>
      <c r="F2444" s="7"/>
      <c r="G2444" s="7"/>
      <c r="H2444" s="7">
        <f>3668/(3668+8925+1306+660+13+0)</f>
        <v>0.25171561899533351</v>
      </c>
      <c r="I2444" t="s">
        <v>1968</v>
      </c>
      <c r="J2444" t="s">
        <v>1971</v>
      </c>
      <c r="K2444" s="6">
        <f t="shared" si="73"/>
        <v>0.86419160032939879</v>
      </c>
    </row>
    <row r="2445" spans="1:11" x14ac:dyDescent="0.2">
      <c r="A2445" s="9" t="s">
        <v>1957</v>
      </c>
      <c r="B2445" s="9">
        <v>2019</v>
      </c>
      <c r="C2445" s="9" t="s">
        <v>1967</v>
      </c>
      <c r="D2445" s="9" t="s">
        <v>1967</v>
      </c>
      <c r="E2445" s="10">
        <f>8925/(3668+8925+1306+660+13+0)</f>
        <v>0.61247598133406533</v>
      </c>
      <c r="F2445" s="10"/>
      <c r="G2445" s="10"/>
      <c r="H2445" s="10">
        <f>3668/(3668+8925+1306+660+13+0)</f>
        <v>0.25171561899533351</v>
      </c>
      <c r="I2445" s="9" t="s">
        <v>1968</v>
      </c>
      <c r="J2445" s="9" t="s">
        <v>1971</v>
      </c>
      <c r="K2445" s="6">
        <f t="shared" si="73"/>
        <v>0.86419160032939879</v>
      </c>
    </row>
    <row r="2446" spans="1:11" x14ac:dyDescent="0.2">
      <c r="A2446" s="8" t="s">
        <v>1972</v>
      </c>
      <c r="B2446">
        <v>2010</v>
      </c>
      <c r="C2446" s="8" t="s">
        <v>1972</v>
      </c>
      <c r="D2446" t="s">
        <v>1973</v>
      </c>
      <c r="E2446" s="11">
        <v>0.01</v>
      </c>
      <c r="I2446" t="s">
        <v>1974</v>
      </c>
      <c r="K2446" s="6">
        <f t="shared" si="73"/>
        <v>0.01</v>
      </c>
    </row>
    <row r="2447" spans="1:11" x14ac:dyDescent="0.2">
      <c r="A2447" s="8" t="s">
        <v>1972</v>
      </c>
      <c r="B2447">
        <v>2011</v>
      </c>
      <c r="C2447" s="8" t="s">
        <v>1972</v>
      </c>
      <c r="D2447" t="s">
        <v>1973</v>
      </c>
      <c r="E2447" s="11">
        <v>0.01</v>
      </c>
      <c r="I2447" t="s">
        <v>1974</v>
      </c>
      <c r="K2447" s="6">
        <f t="shared" si="73"/>
        <v>0.01</v>
      </c>
    </row>
    <row r="2448" spans="1:11" x14ac:dyDescent="0.2">
      <c r="A2448" s="8" t="s">
        <v>1972</v>
      </c>
      <c r="B2448">
        <v>2012</v>
      </c>
      <c r="C2448" s="8" t="s">
        <v>1972</v>
      </c>
      <c r="D2448" t="s">
        <v>1975</v>
      </c>
      <c r="E2448" s="11">
        <v>0.01</v>
      </c>
      <c r="I2448" t="s">
        <v>1974</v>
      </c>
      <c r="K2448" s="6">
        <f t="shared" si="73"/>
        <v>0.01</v>
      </c>
    </row>
    <row r="2449" spans="1:11" x14ac:dyDescent="0.2">
      <c r="A2449" t="s">
        <v>1972</v>
      </c>
      <c r="B2449">
        <v>2014</v>
      </c>
      <c r="C2449" t="s">
        <v>1972</v>
      </c>
      <c r="D2449" t="s">
        <v>1975</v>
      </c>
      <c r="E2449" s="11">
        <v>0.01</v>
      </c>
      <c r="I2449" t="s">
        <v>1974</v>
      </c>
      <c r="K2449" s="6">
        <f t="shared" si="73"/>
        <v>0.01</v>
      </c>
    </row>
    <row r="2450" spans="1:11" x14ac:dyDescent="0.2">
      <c r="A2450" s="8" t="s">
        <v>1972</v>
      </c>
      <c r="B2450">
        <v>2015</v>
      </c>
      <c r="C2450" s="8" t="s">
        <v>1972</v>
      </c>
      <c r="D2450" t="s">
        <v>1975</v>
      </c>
      <c r="E2450" s="11">
        <v>0.01</v>
      </c>
      <c r="I2450" t="s">
        <v>1974</v>
      </c>
      <c r="K2450" s="6">
        <f t="shared" si="73"/>
        <v>0.01</v>
      </c>
    </row>
    <row r="2451" spans="1:11" x14ac:dyDescent="0.2">
      <c r="A2451" s="8" t="s">
        <v>1972</v>
      </c>
      <c r="B2451">
        <v>2016</v>
      </c>
      <c r="C2451" s="8" t="s">
        <v>1972</v>
      </c>
      <c r="D2451" t="s">
        <v>1975</v>
      </c>
      <c r="E2451" s="11">
        <v>0.01</v>
      </c>
      <c r="I2451" t="s">
        <v>1974</v>
      </c>
      <c r="K2451" s="6">
        <f t="shared" ref="K2451:K2462" si="75">SUM(E2451:H2451)</f>
        <v>0.01</v>
      </c>
    </row>
    <row r="2452" spans="1:11" x14ac:dyDescent="0.2">
      <c r="A2452" s="8" t="s">
        <v>1972</v>
      </c>
      <c r="B2452">
        <v>2017</v>
      </c>
      <c r="C2452" s="8" t="s">
        <v>1972</v>
      </c>
      <c r="D2452" t="s">
        <v>1975</v>
      </c>
      <c r="E2452" s="11">
        <v>0.01</v>
      </c>
      <c r="I2452" t="s">
        <v>1974</v>
      </c>
      <c r="K2452" s="6">
        <f t="shared" si="75"/>
        <v>0.01</v>
      </c>
    </row>
    <row r="2453" spans="1:11" x14ac:dyDescent="0.2">
      <c r="A2453" s="8" t="s">
        <v>1972</v>
      </c>
      <c r="B2453">
        <v>2018</v>
      </c>
      <c r="C2453" s="8" t="s">
        <v>1972</v>
      </c>
      <c r="D2453" t="s">
        <v>1975</v>
      </c>
      <c r="E2453" s="12">
        <v>0.01</v>
      </c>
      <c r="F2453" s="7"/>
      <c r="G2453" s="7"/>
      <c r="H2453" s="7"/>
      <c r="I2453" t="s">
        <v>1974</v>
      </c>
      <c r="K2453" s="6">
        <f t="shared" si="75"/>
        <v>0.01</v>
      </c>
    </row>
    <row r="2454" spans="1:11" x14ac:dyDescent="0.2">
      <c r="A2454" s="8" t="s">
        <v>1972</v>
      </c>
      <c r="B2454">
        <v>2018</v>
      </c>
      <c r="C2454" s="8" t="s">
        <v>1972</v>
      </c>
      <c r="D2454" t="s">
        <v>1975</v>
      </c>
      <c r="E2454" s="12">
        <v>0.01</v>
      </c>
      <c r="F2454" s="7"/>
      <c r="G2454" s="7"/>
      <c r="H2454" s="7"/>
      <c r="I2454" t="s">
        <v>1974</v>
      </c>
      <c r="K2454" s="6">
        <f t="shared" si="75"/>
        <v>0.01</v>
      </c>
    </row>
    <row r="2455" spans="1:11" x14ac:dyDescent="0.2">
      <c r="A2455" s="8" t="s">
        <v>1972</v>
      </c>
      <c r="B2455">
        <v>2018</v>
      </c>
      <c r="C2455" t="s">
        <v>1975</v>
      </c>
      <c r="D2455" t="s">
        <v>1975</v>
      </c>
      <c r="E2455" s="12">
        <v>0.01</v>
      </c>
      <c r="F2455" s="7"/>
      <c r="G2455" s="7"/>
      <c r="H2455" s="7"/>
      <c r="I2455" t="s">
        <v>1974</v>
      </c>
      <c r="K2455" s="6">
        <f t="shared" si="75"/>
        <v>0.01</v>
      </c>
    </row>
    <row r="2456" spans="1:11" x14ac:dyDescent="0.2">
      <c r="A2456" s="8" t="s">
        <v>1972</v>
      </c>
      <c r="B2456">
        <v>2019</v>
      </c>
      <c r="C2456" t="s">
        <v>1975</v>
      </c>
      <c r="D2456" t="s">
        <v>1975</v>
      </c>
      <c r="E2456" s="12">
        <v>0.01</v>
      </c>
      <c r="F2456" s="7"/>
      <c r="G2456" s="7"/>
      <c r="H2456" s="7"/>
      <c r="I2456" t="s">
        <v>1974</v>
      </c>
      <c r="K2456" s="6">
        <f t="shared" si="75"/>
        <v>0.01</v>
      </c>
    </row>
    <row r="2457" spans="1:11" x14ac:dyDescent="0.2">
      <c r="A2457" s="8" t="s">
        <v>1972</v>
      </c>
      <c r="B2457">
        <v>2018</v>
      </c>
      <c r="C2457" s="8" t="s">
        <v>1972</v>
      </c>
      <c r="D2457" t="s">
        <v>1976</v>
      </c>
      <c r="E2457" s="12">
        <v>0.01</v>
      </c>
      <c r="F2457" s="7"/>
      <c r="G2457" s="7"/>
      <c r="H2457" s="7"/>
      <c r="I2457" t="s">
        <v>1974</v>
      </c>
      <c r="K2457" s="6">
        <f t="shared" si="75"/>
        <v>0.01</v>
      </c>
    </row>
    <row r="2458" spans="1:11" x14ac:dyDescent="0.2">
      <c r="A2458" s="8" t="s">
        <v>1972</v>
      </c>
      <c r="B2458">
        <v>2018</v>
      </c>
      <c r="C2458" s="8" t="s">
        <v>1972</v>
      </c>
      <c r="D2458" t="s">
        <v>1977</v>
      </c>
      <c r="E2458" s="12">
        <v>0.01</v>
      </c>
      <c r="F2458" s="7"/>
      <c r="G2458" s="7"/>
      <c r="H2458" s="7"/>
      <c r="I2458" t="s">
        <v>1974</v>
      </c>
      <c r="K2458" s="6">
        <f t="shared" si="75"/>
        <v>0.01</v>
      </c>
    </row>
    <row r="2459" spans="1:11" x14ac:dyDescent="0.2">
      <c r="A2459" s="8" t="s">
        <v>1972</v>
      </c>
      <c r="B2459">
        <v>2018</v>
      </c>
      <c r="C2459" t="s">
        <v>1977</v>
      </c>
      <c r="D2459" t="s">
        <v>1977</v>
      </c>
      <c r="E2459" s="12">
        <v>0.01</v>
      </c>
      <c r="F2459" s="7"/>
      <c r="G2459" s="7"/>
      <c r="H2459" s="7"/>
      <c r="I2459" t="s">
        <v>1974</v>
      </c>
      <c r="K2459" s="6">
        <f t="shared" si="75"/>
        <v>0.01</v>
      </c>
    </row>
    <row r="2460" spans="1:11" x14ac:dyDescent="0.2">
      <c r="A2460" s="8" t="s">
        <v>1972</v>
      </c>
      <c r="B2460">
        <v>2019</v>
      </c>
      <c r="C2460" t="s">
        <v>1977</v>
      </c>
      <c r="D2460" t="s">
        <v>1977</v>
      </c>
      <c r="E2460" s="12">
        <v>0.01</v>
      </c>
      <c r="F2460" s="7"/>
      <c r="G2460" s="7"/>
      <c r="H2460" s="7"/>
      <c r="I2460" t="s">
        <v>1974</v>
      </c>
      <c r="K2460" s="6">
        <f t="shared" si="75"/>
        <v>0.01</v>
      </c>
    </row>
    <row r="2461" spans="1:11" x14ac:dyDescent="0.2">
      <c r="A2461" s="8" t="s">
        <v>1972</v>
      </c>
      <c r="B2461">
        <v>2011</v>
      </c>
      <c r="C2461" s="8" t="s">
        <v>1972</v>
      </c>
      <c r="D2461" t="s">
        <v>1978</v>
      </c>
      <c r="E2461" s="12">
        <v>0.01</v>
      </c>
      <c r="F2461" s="7"/>
      <c r="G2461" s="7"/>
      <c r="H2461" s="7"/>
      <c r="I2461" t="s">
        <v>1974</v>
      </c>
      <c r="K2461" s="6">
        <f t="shared" si="75"/>
        <v>0.01</v>
      </c>
    </row>
    <row r="2462" spans="1:11" x14ac:dyDescent="0.2">
      <c r="A2462" s="8" t="s">
        <v>1972</v>
      </c>
      <c r="B2462">
        <v>2014</v>
      </c>
      <c r="C2462" s="8" t="s">
        <v>1972</v>
      </c>
      <c r="D2462" t="s">
        <v>1978</v>
      </c>
      <c r="E2462" s="12">
        <v>0.01</v>
      </c>
      <c r="F2462" s="7"/>
      <c r="G2462" s="7"/>
      <c r="H2462" s="7"/>
      <c r="I2462" t="s">
        <v>1974</v>
      </c>
      <c r="K2462" s="6">
        <f t="shared" si="75"/>
        <v>0.01</v>
      </c>
    </row>
  </sheetData>
  <autoFilter ref="A1:M2462" xr:uid="{F5626DB6-D49E-41B9-B0A7-BC19E6E75DFA}"/>
  <conditionalFormatting sqref="K2:K2434">
    <cfRule type="cellIs" dxfId="1" priority="2" operator="equal">
      <formula>0</formula>
    </cfRule>
  </conditionalFormatting>
  <conditionalFormatting sqref="K2435:K2462">
    <cfRule type="cellIs" dxfId="0" priority="1" operator="equal">
      <formula>0</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Adjusters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 Dowlen</dc:creator>
  <cp:lastModifiedBy>Steph Dowlen</cp:lastModifiedBy>
  <dcterms:created xsi:type="dcterms:W3CDTF">2019-12-11T15:06:40Z</dcterms:created>
  <dcterms:modified xsi:type="dcterms:W3CDTF">2019-12-11T15:07:05Z</dcterms:modified>
</cp:coreProperties>
</file>